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7.xml" ContentType="application/vnd.ms-excel.controlproperties+xml"/>
  <Override PartName="/docProps/app.xml" ContentType="application/vnd.openxmlformats-officedocument.extended-properties+xml"/>
  <Override PartName="/xl/ctrlProps/ctrlProp6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04_Projekte\34_Schmierung_FlexxPump\"/>
    </mc:Choice>
  </mc:AlternateContent>
  <xr:revisionPtr revIDLastSave="0" documentId="13_ncr:1_{275DCA15-A923-4CAB-AEAE-47DA7656B8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ubriCalc" sheetId="1" r:id="rId1"/>
    <sheet name="Constants" sheetId="2" state="hidden" r:id="rId2"/>
    <sheet name="Pictures" sheetId="4" state="hidden" r:id="rId3"/>
    <sheet name="release note" sheetId="3" r:id="rId4"/>
  </sheets>
  <definedNames>
    <definedName name="BilderSuche">INDEX(Pictures!$B$3:$B$8,LubriCalc!$I$7)</definedName>
    <definedName name="Bildsuche" localSheetId="2">INDEX(Tabelle22[Spalte2],LubriCalc!$I$7)</definedName>
    <definedName name="ConstCartVol" localSheetId="2">Pictures!#REF!</definedName>
    <definedName name="ConstCartVol">Constants!$C$8</definedName>
    <definedName name="ConstMaxIntDist" localSheetId="2">Pictures!#REF!</definedName>
    <definedName name="ConstMaxIntDist">Constants!$C$5</definedName>
    <definedName name="ConstMaxIntTime" localSheetId="2">Pictures!#REF!</definedName>
    <definedName name="ConstMaxIntTime">Constants!$C$6</definedName>
    <definedName name="ConstMaxReplTime" localSheetId="2">Pictures!#REF!</definedName>
    <definedName name="ConstMaxReplTime">Constants!$C$7</definedName>
    <definedName name="ConstMonthDay" localSheetId="2">Pictures!#REF!</definedName>
    <definedName name="ConstMonthDay">Constants!$C$10</definedName>
    <definedName name="ConstVolPerExitStroke" localSheetId="2">Pictures!#REF!</definedName>
    <definedName name="ConstVolPerExitStroke">Constants!$C$9</definedName>
    <definedName name="_xlnm.Print_Area" localSheetId="0">LubriCalc!$A$1:$N$33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E11" i="1"/>
  <c r="E20" i="1" l="1"/>
  <c r="A29" i="3" l="1"/>
  <c r="H9" i="1" l="1"/>
  <c r="B25" i="1" l="1"/>
  <c r="G45" i="2"/>
  <c r="F45" i="2"/>
  <c r="G44" i="2"/>
  <c r="F44" i="2"/>
  <c r="G43" i="2"/>
  <c r="F43" i="2"/>
  <c r="E23" i="1" l="1"/>
  <c r="E30" i="1"/>
  <c r="E7" i="1"/>
  <c r="C20" i="1" s="1"/>
  <c r="C16" i="1" l="1"/>
  <c r="D53" i="2" l="1"/>
  <c r="D54" i="2"/>
  <c r="D52" i="2"/>
  <c r="C53" i="2"/>
  <c r="C54" i="2"/>
  <c r="C52" i="2"/>
  <c r="C17" i="1" s="1"/>
  <c r="C21" i="1" s="1"/>
  <c r="C23" i="1" l="1"/>
  <c r="G40" i="2"/>
  <c r="F40" i="2" l="1"/>
  <c r="G42" i="2"/>
  <c r="G41" i="2"/>
  <c r="F42" i="2"/>
  <c r="F41" i="2"/>
  <c r="E22" i="1" l="1"/>
  <c r="C22" i="1" s="1"/>
  <c r="E29" i="1"/>
  <c r="I7" i="1"/>
  <c r="E37" i="2"/>
  <c r="E36" i="2"/>
  <c r="C25" i="1"/>
  <c r="K6" i="1" l="1"/>
  <c r="C26" i="1" s="1"/>
  <c r="G9" i="1"/>
  <c r="C29" i="1" l="1"/>
  <c r="C30" i="1"/>
  <c r="E24" i="1"/>
  <c r="C31" i="1" s="1"/>
  <c r="C32" i="1" s="1"/>
  <c r="C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Brunner Pius</author>
  </authors>
  <commentList>
    <comment ref="D2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Brunner Pius:</t>
        </r>
        <r>
          <rPr>
            <sz val="9"/>
            <color indexed="81"/>
            <rFont val="Tahoma"/>
            <family val="2"/>
          </rPr>
          <t xml:space="preserve">
Shortens the max. Intervall
</t>
        </r>
      </text>
    </comment>
  </commentList>
</comments>
</file>

<file path=xl/sharedStrings.xml><?xml version="1.0" encoding="utf-8"?>
<sst xmlns="http://schemas.openxmlformats.org/spreadsheetml/2006/main" count="166" uniqueCount="130">
  <si>
    <t>ShiftWork 1</t>
  </si>
  <si>
    <t>ShiftWork 2</t>
  </si>
  <si>
    <t>ShiftWork 3</t>
  </si>
  <si>
    <t>Degree of poll. 1</t>
  </si>
  <si>
    <t>Degree of poll. 3</t>
  </si>
  <si>
    <t>Degree of poll. 5</t>
  </si>
  <si>
    <t>Pump type</t>
  </si>
  <si>
    <t>Systems</t>
  </si>
  <si>
    <t>Name</t>
  </si>
  <si>
    <t>idx</t>
  </si>
  <si>
    <t>hours/day</t>
  </si>
  <si>
    <t>Percentage</t>
  </si>
  <si>
    <t>Lubrication</t>
  </si>
  <si>
    <t>min. Strokes (Splitter)</t>
  </si>
  <si>
    <t>[km]</t>
  </si>
  <si>
    <t>[h]</t>
  </si>
  <si>
    <t>Max interval</t>
  </si>
  <si>
    <t>Max replacementime</t>
  </si>
  <si>
    <t>[month]</t>
  </si>
  <si>
    <t>[%]</t>
  </si>
  <si>
    <t>[m/s]</t>
  </si>
  <si>
    <t>strokeportion [cm^3 ]</t>
  </si>
  <si>
    <t>[cm^3]</t>
  </si>
  <si>
    <t>[km/day]</t>
  </si>
  <si>
    <t>[day]</t>
  </si>
  <si>
    <t>[stroke]</t>
  </si>
  <si>
    <t>exits []</t>
  </si>
  <si>
    <t>Volume per exit/stroke</t>
  </si>
  <si>
    <t>ConstMaxReplTime</t>
  </si>
  <si>
    <t>ConstMaxIntTime</t>
  </si>
  <si>
    <t>ConstMaxIntDist</t>
  </si>
  <si>
    <t>ConstCartVol</t>
  </si>
  <si>
    <t>ConstVolPerExitStroke</t>
  </si>
  <si>
    <t>Average day/month</t>
  </si>
  <si>
    <t>[day/month]</t>
  </si>
  <si>
    <t>ConstMonthDay</t>
  </si>
  <si>
    <t>Req. Quant. Per Lub</t>
  </si>
  <si>
    <t>Sice 1-4</t>
  </si>
  <si>
    <t>Sice 5-7</t>
  </si>
  <si>
    <t>3- lube points</t>
  </si>
  <si>
    <t>6- lube points</t>
  </si>
  <si>
    <t>4- lube points</t>
  </si>
  <si>
    <t>Req. Quant. 100km</t>
  </si>
  <si>
    <t>[cm^3/100km]</t>
  </si>
  <si>
    <t>Quant. Lubpart</t>
  </si>
  <si>
    <t>EP, TMF, TMO</t>
  </si>
  <si>
    <t>every</t>
  </si>
  <si>
    <t>speed</t>
  </si>
  <si>
    <t>Cardridge volume</t>
  </si>
  <si>
    <t>shift operation</t>
  </si>
  <si>
    <t>Lubrication cycle calculator</t>
  </si>
  <si>
    <r>
      <t xml:space="preserve">daily travel </t>
    </r>
    <r>
      <rPr>
        <b/>
        <i/>
        <sz val="14"/>
        <rFont val="Calibri"/>
        <family val="2"/>
        <scheme val="minor"/>
      </rPr>
      <t>V</t>
    </r>
  </si>
  <si>
    <r>
      <t xml:space="preserve">lubrication quantity per day </t>
    </r>
    <r>
      <rPr>
        <b/>
        <i/>
        <sz val="14"/>
        <rFont val="Calibri"/>
        <family val="2"/>
        <scheme val="minor"/>
      </rPr>
      <t>P</t>
    </r>
  </si>
  <si>
    <t>total km per cartridge life time</t>
  </si>
  <si>
    <t>strokes per cartridge life time</t>
  </si>
  <si>
    <r>
      <t xml:space="preserve">emptying time of cartridge </t>
    </r>
    <r>
      <rPr>
        <b/>
        <i/>
        <sz val="14"/>
        <color theme="1"/>
        <rFont val="Calibri"/>
        <family val="2"/>
        <scheme val="minor"/>
      </rPr>
      <t xml:space="preserve">P1 </t>
    </r>
  </si>
  <si>
    <r>
      <t xml:space="preserve">required lubrication amount </t>
    </r>
    <r>
      <rPr>
        <b/>
        <i/>
        <sz val="14"/>
        <color theme="1"/>
        <rFont val="Calibri"/>
        <family val="2"/>
        <scheme val="minor"/>
      </rPr>
      <t>P</t>
    </r>
    <r>
      <rPr>
        <b/>
        <i/>
        <sz val="12"/>
        <color theme="1"/>
        <rFont val="Calibri"/>
        <family val="2"/>
        <scheme val="minor"/>
      </rPr>
      <t>t</t>
    </r>
    <r>
      <rPr>
        <b/>
        <i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(total)</t>
    </r>
  </si>
  <si>
    <r>
      <t xml:space="preserve">reqiured lubrication amount </t>
    </r>
    <r>
      <rPr>
        <b/>
        <i/>
        <sz val="14"/>
        <color theme="1"/>
        <rFont val="Calibri"/>
        <family val="2"/>
        <scheme val="minor"/>
      </rPr>
      <t xml:space="preserve">U </t>
    </r>
    <r>
      <rPr>
        <sz val="14"/>
        <color theme="1"/>
        <rFont val="Calibri"/>
        <family val="2"/>
        <scheme val="minor"/>
      </rPr>
      <t>per lubrication point</t>
    </r>
  </si>
  <si>
    <t>lubrication quantity per day at each guide</t>
  </si>
  <si>
    <t>% rack</t>
  </si>
  <si>
    <t>% guide</t>
  </si>
  <si>
    <t>lubrication quantity per day at each rack</t>
  </si>
  <si>
    <t>name P2</t>
  </si>
  <si>
    <t>strokes per cycle</t>
  </si>
  <si>
    <t>P2</t>
  </si>
  <si>
    <t>lubrication quantity per cycle at each rack</t>
  </si>
  <si>
    <t>lubrication quantity per cycle at each guide</t>
  </si>
  <si>
    <t>Units</t>
  </si>
  <si>
    <r>
      <t>[cm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]</t>
    </r>
  </si>
  <si>
    <r>
      <t>[cm</t>
    </r>
    <r>
      <rPr>
        <vertAlign val="superscript"/>
        <sz val="10"/>
        <color theme="1"/>
        <rFont val="Calibri"/>
        <family val="2"/>
        <scheme val="minor"/>
      </rPr>
      <t>3/</t>
    </r>
    <r>
      <rPr>
        <sz val="10"/>
        <color theme="1"/>
        <rFont val="Calibri"/>
        <family val="2"/>
        <scheme val="minor"/>
      </rPr>
      <t>100km]</t>
    </r>
  </si>
  <si>
    <r>
      <t>[cm</t>
    </r>
    <r>
      <rPr>
        <vertAlign val="superscript"/>
        <sz val="10"/>
        <color theme="1"/>
        <rFont val="Calibri"/>
        <family val="2"/>
        <scheme val="minor"/>
      </rPr>
      <t>3/</t>
    </r>
    <r>
      <rPr>
        <sz val="10"/>
        <color theme="1"/>
        <rFont val="Calibri"/>
        <family val="2"/>
        <scheme val="minor"/>
      </rPr>
      <t>day]</t>
    </r>
  </si>
  <si>
    <r>
      <t>[cm</t>
    </r>
    <r>
      <rPr>
        <vertAlign val="superscript"/>
        <sz val="10"/>
        <color theme="1"/>
        <rFont val="Calibri"/>
        <family val="2"/>
        <scheme val="minor"/>
      </rPr>
      <t>3/</t>
    </r>
    <r>
      <rPr>
        <sz val="10"/>
        <color theme="1"/>
        <rFont val="Calibri"/>
        <family val="2"/>
        <scheme val="minor"/>
      </rPr>
      <t>cycle]</t>
    </r>
  </si>
  <si>
    <t>quantity per stroke:</t>
  </si>
  <si>
    <t>V1.00</t>
  </si>
  <si>
    <t>V2.00</t>
  </si>
  <si>
    <t>version</t>
  </si>
  <si>
    <t>change</t>
  </si>
  <si>
    <t>date</t>
  </si>
  <si>
    <t>responsible</t>
  </si>
  <si>
    <t>latest release</t>
  </si>
  <si>
    <t>michsc</t>
  </si>
  <si>
    <t>release for DesignRules / Gudel Downlads on Website / Picture Park</t>
  </si>
  <si>
    <t>new added butom for direct Input daily travel / lubrication values (Req. Quant. 100km) for size 1-4 and size 5-7 doubled / corecture values adjustetd (+/-25% and +/-50%)</t>
  </si>
  <si>
    <t>direct Input</t>
  </si>
  <si>
    <t>-</t>
  </si>
  <si>
    <t>direct Input for daily travel</t>
  </si>
  <si>
    <t>(effective)</t>
  </si>
  <si>
    <t>direct input</t>
  </si>
  <si>
    <t>-50%</t>
  </si>
  <si>
    <t>-25%</t>
  </si>
  <si>
    <t>+25%</t>
  </si>
  <si>
    <t>+50%</t>
  </si>
  <si>
    <t>0</t>
  </si>
  <si>
    <t>V2.01</t>
  </si>
  <si>
    <t>+75%</t>
  </si>
  <si>
    <t>+100%</t>
  </si>
  <si>
    <t>Degree of poll. 6</t>
  </si>
  <si>
    <t>Degree of poll. 7</t>
  </si>
  <si>
    <t>Degree of poll. 8</t>
  </si>
  <si>
    <t>Degree of poll. 9</t>
  </si>
  <si>
    <t xml:space="preserve"> corecture values adjustetd: -50% up to +100%</t>
  </si>
  <si>
    <t>FlexxPump4 D424A</t>
  </si>
  <si>
    <t>FlexxPump4 N412A + B412A</t>
  </si>
  <si>
    <t>Size 2 ¦ 3 ¦ 4</t>
  </si>
  <si>
    <t>Size 5 ¦ 6 ¦ 7</t>
  </si>
  <si>
    <t>adjustment value (50% - 200%)</t>
  </si>
  <si>
    <t>ZP, FP Y-Axis</t>
  </si>
  <si>
    <t>FP X-Axis</t>
  </si>
  <si>
    <r>
      <t>[cm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]</t>
    </r>
  </si>
  <si>
    <t>V2.10</t>
  </si>
  <si>
    <t>Pump types/designations updated (new Flexxpump 4) / accordingly lubricant quantity per output adjusted (new 0.16 cm^3, old: 0.15 cm^3)
Programming adapted for Windows 10, various small design adjustments made.</t>
  </si>
  <si>
    <t>N412A + B412A</t>
  </si>
  <si>
    <t>D424A</t>
  </si>
  <si>
    <t>2-Axis Module ¦ 6 lubrication points</t>
  </si>
  <si>
    <t>X-Axis FP ¦ 4 lubrication points</t>
  </si>
  <si>
    <t>duty cycle</t>
  </si>
  <si>
    <t>example:</t>
  </si>
  <si>
    <t>Spalte1</t>
  </si>
  <si>
    <t>Spalte2</t>
  </si>
  <si>
    <t>V2.10 / 15.12.2023 / michsc</t>
  </si>
  <si>
    <t>calculated</t>
  </si>
  <si>
    <t>gantry or track size</t>
  </si>
  <si>
    <t>Pump</t>
  </si>
  <si>
    <t>Gantry, Trackmotion</t>
  </si>
  <si>
    <t>Situation:</t>
  </si>
  <si>
    <t>Type:</t>
  </si>
  <si>
    <r>
      <t xml:space="preserve">Tabular value:  </t>
    </r>
    <r>
      <rPr>
        <sz val="14"/>
        <color theme="0" tint="-0.499984740745262"/>
        <rFont val="Calibri"/>
        <family val="2"/>
        <scheme val="minor"/>
      </rPr>
      <t>(empirical value Güdel)</t>
    </r>
  </si>
  <si>
    <t>Results:</t>
  </si>
  <si>
    <t>Nice to know:</t>
  </si>
  <si>
    <t>1-Axis Module ¦ 3 lubrication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</si>
</sst>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"/>
    <numFmt numFmtId="165" formatCode="0.000"/>
    <numFmt numFmtId="166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color rgb="FF000000"/>
      <name val="Tahoma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91">
    <xf numFmtId="0" fontId="0" fillId="0" borderId="0" xfId="0"/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4" fontId="3" fillId="2" borderId="0" xfId="0" applyNumberFormat="1" applyFont="1" applyFill="1" applyAlignment="1">
      <alignment horizontal="left"/>
    </xf>
    <xf numFmtId="9" fontId="4" fillId="2" borderId="0" xfId="2" applyFont="1" applyFill="1" applyAlignment="1">
      <alignment horizontal="left"/>
    </xf>
    <xf numFmtId="166" fontId="4" fillId="2" borderId="0" xfId="2" applyNumberFormat="1" applyFont="1" applyFill="1" applyAlignment="1">
      <alignment horizontal="left"/>
    </xf>
    <xf numFmtId="0" fontId="17" fillId="0" borderId="0" xfId="0" applyFont="1" applyAlignment="1">
      <alignment horizontal="left"/>
    </xf>
    <xf numFmtId="0" fontId="10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3" fillId="4" borderId="0" xfId="0" applyFont="1" applyFill="1"/>
    <xf numFmtId="0" fontId="9" fillId="4" borderId="0" xfId="0" applyFont="1" applyFill="1"/>
    <xf numFmtId="0" fontId="5" fillId="4" borderId="0" xfId="0" applyFont="1" applyFill="1" applyProtection="1">
      <protection locked="0"/>
    </xf>
    <xf numFmtId="0" fontId="11" fillId="4" borderId="0" xfId="0" applyFont="1" applyFill="1"/>
    <xf numFmtId="0" fontId="11" fillId="4" borderId="0" xfId="0" applyFont="1" applyFill="1" applyAlignment="1">
      <alignment horizontal="right"/>
    </xf>
    <xf numFmtId="2" fontId="6" fillId="4" borderId="0" xfId="2" applyNumberFormat="1" applyFont="1" applyFill="1" applyBorder="1" applyAlignment="1">
      <alignment horizontal="right"/>
    </xf>
    <xf numFmtId="0" fontId="4" fillId="4" borderId="0" xfId="0" applyFont="1" applyFill="1" applyAlignment="1">
      <alignment horizontal="left"/>
    </xf>
    <xf numFmtId="0" fontId="12" fillId="4" borderId="0" xfId="0" applyFont="1" applyFill="1"/>
    <xf numFmtId="2" fontId="11" fillId="4" borderId="0" xfId="0" applyNumberFormat="1" applyFont="1" applyFill="1"/>
    <xf numFmtId="165" fontId="5" fillId="4" borderId="0" xfId="0" applyNumberFormat="1" applyFont="1" applyFill="1" applyAlignment="1">
      <alignment horizontal="center"/>
    </xf>
    <xf numFmtId="0" fontId="9" fillId="3" borderId="0" xfId="0" applyFont="1" applyFill="1"/>
    <xf numFmtId="0" fontId="5" fillId="3" borderId="0" xfId="0" applyFont="1" applyFill="1" applyAlignment="1">
      <alignment horizontal="right"/>
    </xf>
    <xf numFmtId="0" fontId="3" fillId="3" borderId="0" xfId="0" applyFont="1" applyFill="1" applyAlignment="1">
      <alignment vertical="top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19" fillId="6" borderId="1" xfId="0" applyFont="1" applyFill="1" applyBorder="1" applyAlignment="1">
      <alignment vertical="top"/>
    </xf>
    <xf numFmtId="0" fontId="19" fillId="6" borderId="1" xfId="0" applyFont="1" applyFill="1" applyBorder="1" applyAlignment="1">
      <alignment vertical="top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7" borderId="1" xfId="0" applyFill="1" applyBorder="1" applyAlignment="1">
      <alignment vertical="top"/>
    </xf>
    <xf numFmtId="0" fontId="1" fillId="7" borderId="1" xfId="0" applyFont="1" applyFill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2" fontId="13" fillId="4" borderId="0" xfId="2" applyNumberFormat="1" applyFont="1" applyFill="1" applyBorder="1" applyAlignment="1">
      <alignment horizontal="center" vertical="center"/>
    </xf>
    <xf numFmtId="2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2" fontId="13" fillId="4" borderId="0" xfId="0" applyNumberFormat="1" applyFont="1" applyFill="1" applyAlignment="1">
      <alignment horizontal="center" vertical="center"/>
    </xf>
    <xf numFmtId="1" fontId="9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" fontId="5" fillId="4" borderId="0" xfId="0" applyNumberFormat="1" applyFont="1" applyFill="1" applyAlignment="1">
      <alignment horizontal="center" vertical="center"/>
    </xf>
    <xf numFmtId="2" fontId="22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center" vertical="top"/>
    </xf>
    <xf numFmtId="0" fontId="21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21" fillId="0" borderId="0" xfId="5" applyFont="1" applyAlignment="1">
      <alignment horizontal="left"/>
    </xf>
    <xf numFmtId="0" fontId="21" fillId="2" borderId="0" xfId="5" applyFont="1" applyFill="1" applyAlignment="1">
      <alignment horizontal="left"/>
    </xf>
    <xf numFmtId="49" fontId="21" fillId="2" borderId="0" xfId="5" applyNumberFormat="1" applyFont="1" applyFill="1" applyAlignment="1">
      <alignment horizontal="left"/>
    </xf>
    <xf numFmtId="9" fontId="21" fillId="2" borderId="0" xfId="3" applyFont="1" applyFill="1" applyAlignment="1">
      <alignment horizontal="left"/>
    </xf>
    <xf numFmtId="43" fontId="4" fillId="2" borderId="0" xfId="1" applyFont="1" applyFill="1" applyAlignment="1">
      <alignment horizontal="left"/>
    </xf>
    <xf numFmtId="0" fontId="5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13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right" vertical="center"/>
    </xf>
    <xf numFmtId="166" fontId="4" fillId="4" borderId="0" xfId="3" applyNumberFormat="1" applyFont="1" applyFill="1" applyBorder="1" applyAlignment="1">
      <alignment horizontal="right" vertical="center"/>
    </xf>
    <xf numFmtId="0" fontId="5" fillId="4" borderId="0" xfId="0" applyFont="1" applyFill="1" applyAlignment="1" applyProtection="1">
      <alignment horizontal="center" vertical="center"/>
      <protection locked="0"/>
    </xf>
    <xf numFmtId="9" fontId="6" fillId="4" borderId="0" xfId="2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1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right" vertical="center"/>
    </xf>
    <xf numFmtId="9" fontId="11" fillId="4" borderId="0" xfId="2" applyFont="1" applyFill="1" applyBorder="1" applyAlignment="1">
      <alignment horizontal="right" vertical="center"/>
    </xf>
    <xf numFmtId="9" fontId="4" fillId="4" borderId="0" xfId="2" applyFont="1" applyFill="1" applyBorder="1" applyAlignment="1">
      <alignment horizontal="right" vertical="center"/>
    </xf>
    <xf numFmtId="0" fontId="3" fillId="4" borderId="0" xfId="0" applyFont="1" applyFill="1" applyAlignment="1" applyProtection="1">
      <alignment horizontal="center" vertical="center"/>
      <protection locked="0"/>
    </xf>
    <xf numFmtId="2" fontId="6" fillId="4" borderId="0" xfId="2" applyNumberFormat="1" applyFont="1" applyFill="1" applyBorder="1" applyAlignment="1">
      <alignment horizontal="right" vertical="center"/>
    </xf>
    <xf numFmtId="165" fontId="4" fillId="4" borderId="0" xfId="3" applyNumberFormat="1" applyFont="1" applyFill="1" applyBorder="1" applyAlignment="1">
      <alignment horizontal="right" vertical="center"/>
    </xf>
    <xf numFmtId="164" fontId="9" fillId="4" borderId="0" xfId="0" applyNumberFormat="1" applyFont="1" applyFill="1" applyAlignment="1">
      <alignment horizontal="center" vertical="center"/>
    </xf>
    <xf numFmtId="0" fontId="24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right"/>
    </xf>
    <xf numFmtId="0" fontId="13" fillId="4" borderId="0" xfId="0" applyFont="1" applyFill="1"/>
    <xf numFmtId="0" fontId="21" fillId="4" borderId="0" xfId="0" applyFont="1" applyFill="1"/>
    <xf numFmtId="0" fontId="6" fillId="4" borderId="0" xfId="0" applyFont="1" applyFill="1"/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right" vertical="top"/>
    </xf>
    <xf numFmtId="0" fontId="5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6">
    <cellStyle name="Komma 2" xfId="1" xr:uid="{00000000-0005-0000-0000-000000000000}"/>
    <cellStyle name="Prozent" xfId="2" builtinId="5"/>
    <cellStyle name="Prozent 2" xfId="3" xr:uid="{00000000-0005-0000-0000-000002000000}"/>
    <cellStyle name="Standard" xfId="0" builtinId="0"/>
    <cellStyle name="Standard 2" xfId="4" xr:uid="{00000000-0005-0000-0000-000004000000}"/>
    <cellStyle name="Standard 3" xfId="5" xr:uid="{00000000-0005-0000-0000-000005000000}"/>
  </cellStyles>
  <dxfs count="9">
    <dxf>
      <font>
        <color theme="0" tint="-4.9989318521683403E-2"/>
      </font>
    </dxf>
    <dxf>
      <font>
        <color theme="0" tint="-0.34998626667073579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Radio" checked="Checked" firstButton="1" fmlaLink="$K$3" noThreeD="1"/>
</file>

<file path=xl/ctrlProps/ctrlProp2.xml><?xml version="1.0" encoding="utf-8"?>
<formControlPr xmlns="http://schemas.microsoft.com/office/spreadsheetml/2009/9/main" objectType="Drop" dropLines="3" dropStyle="combo" dx="16" fmlaLink="$C$7" fmlaRange="Constants!$C$22:$C$24" noThreeD="1" sel="3" val="0"/>
</file>

<file path=xl/ctrlProps/ctrlProp3.xml><?xml version="1.0" encoding="utf-8"?>
<formControlPr xmlns="http://schemas.microsoft.com/office/spreadsheetml/2009/9/main" objectType="Drop" dropLines="9" dropStyle="combo" dx="16" fmlaLink="$C$11" fmlaRange="Constants!$C$27:$C$33" noThreeD="1" sel="3" val="0"/>
</file>

<file path=xl/ctrlProps/ctrlProp4.xml><?xml version="1.0" encoding="utf-8"?>
<formControlPr xmlns="http://schemas.microsoft.com/office/spreadsheetml/2009/9/main" objectType="Drop" dropLines="2" dropStyle="combo" dx="16" fmlaLink="$H$6" fmlaRange="Constants!$C$36:$C$37" noThreeD="1" sel="1" val="0"/>
</file>

<file path=xl/ctrlProps/ctrlProp5.xml><?xml version="1.0" encoding="utf-8"?>
<formControlPr xmlns="http://schemas.microsoft.com/office/spreadsheetml/2009/9/main" objectType="Drop" dropLines="3" dropStyle="combo" dx="16" fmlaLink="$H$7" fmlaRange="Constants!$C$40:$C$42" noThreeD="1" sel="1" val="0"/>
</file>

<file path=xl/ctrlProps/ctrlProp6.xml><?xml version="1.0" encoding="utf-8"?>
<formControlPr xmlns="http://schemas.microsoft.com/office/spreadsheetml/2009/9/main" objectType="Drop" dropLines="2" dropStyle="combo" dx="16" fmlaLink="$C$12" fmlaRange="Constants!$A$13:$A$14" noThreeD="1" sel="1" val="0"/>
</file>

<file path=xl/ctrlProps/ctrlProp7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g"/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1</xdr:row>
          <xdr:rowOff>190500</xdr:rowOff>
        </xdr:from>
        <xdr:to>
          <xdr:col>5</xdr:col>
          <xdr:colOff>628650</xdr:colOff>
          <xdr:row>3</xdr:row>
          <xdr:rowOff>9525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daily travel calculated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28575</xdr:rowOff>
        </xdr:from>
        <xdr:to>
          <xdr:col>3</xdr:col>
          <xdr:colOff>219075</xdr:colOff>
          <xdr:row>6</xdr:row>
          <xdr:rowOff>276225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47625</xdr:rowOff>
        </xdr:from>
        <xdr:to>
          <xdr:col>3</xdr:col>
          <xdr:colOff>295275</xdr:colOff>
          <xdr:row>11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5</xdr:row>
          <xdr:rowOff>57150</xdr:rowOff>
        </xdr:from>
        <xdr:to>
          <xdr:col>8</xdr:col>
          <xdr:colOff>1038225</xdr:colOff>
          <xdr:row>6</xdr:row>
          <xdr:rowOff>9525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</xdr:row>
          <xdr:rowOff>66675</xdr:rowOff>
        </xdr:from>
        <xdr:to>
          <xdr:col>8</xdr:col>
          <xdr:colOff>1038225</xdr:colOff>
          <xdr:row>7</xdr:row>
          <xdr:rowOff>19050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66675</xdr:rowOff>
        </xdr:from>
        <xdr:to>
          <xdr:col>3</xdr:col>
          <xdr:colOff>295275</xdr:colOff>
          <xdr:row>12</xdr:row>
          <xdr:rowOff>19050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190500</xdr:rowOff>
        </xdr:from>
        <xdr:to>
          <xdr:col>3</xdr:col>
          <xdr:colOff>657225</xdr:colOff>
          <xdr:row>3</xdr:row>
          <xdr:rowOff>9525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direct input for daily travel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1</xdr:rowOff>
        </xdr:from>
        <xdr:to>
          <xdr:col>11</xdr:col>
          <xdr:colOff>243300</xdr:colOff>
          <xdr:row>20</xdr:row>
          <xdr:rowOff>227026</xdr:rowOff>
        </xdr:to>
        <xdr:pic>
          <xdr:nvPicPr>
            <xdr:cNvPr id="2" name="Grafik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BilderSuche" spid="_x0000_s214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82000" y="2247901"/>
              <a:ext cx="4320000" cy="3456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9</xdr:col>
      <xdr:colOff>542925</xdr:colOff>
      <xdr:row>1</xdr:row>
      <xdr:rowOff>85725</xdr:rowOff>
    </xdr:from>
    <xdr:to>
      <xdr:col>12</xdr:col>
      <xdr:colOff>1087050</xdr:colOff>
      <xdr:row>3</xdr:row>
      <xdr:rowOff>81985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9653"/>
        <a:stretch/>
      </xdr:blipFill>
      <xdr:spPr>
        <a:xfrm>
          <a:off x="11553825" y="314325"/>
          <a:ext cx="2592000" cy="6249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4320000</xdr:colOff>
      <xdr:row>4</xdr:row>
      <xdr:rowOff>7016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27" b="3565"/>
        <a:stretch/>
      </xdr:blipFill>
      <xdr:spPr>
        <a:xfrm>
          <a:off x="1238250" y="3905250"/>
          <a:ext cx="4320000" cy="3493166"/>
        </a:xfrm>
        <a:prstGeom prst="rect">
          <a:avLst/>
        </a:prstGeom>
        <a:ln w="19050">
          <a:noFill/>
        </a:ln>
        <a:effectLst>
          <a:softEdge rad="12700"/>
        </a:effec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4320000</xdr:colOff>
      <xdr:row>4</xdr:row>
      <xdr:rowOff>3251721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7" t="8920" r="8795" b="7777"/>
        <a:stretch/>
      </xdr:blipFill>
      <xdr:spPr>
        <a:xfrm>
          <a:off x="1238250" y="7648575"/>
          <a:ext cx="4320000" cy="3251721"/>
        </a:xfrm>
        <a:prstGeom prst="rect">
          <a:avLst/>
        </a:prstGeom>
        <a:ln w="19050">
          <a:noFill/>
        </a:ln>
        <a:effectLst>
          <a:softEdge rad="12700"/>
        </a:effec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4320000</xdr:colOff>
      <xdr:row>5</xdr:row>
      <xdr:rowOff>3456000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11391900"/>
          <a:ext cx="4320000" cy="3456000"/>
        </a:xfrm>
        <a:prstGeom prst="rect">
          <a:avLst/>
        </a:prstGeom>
        <a:ln w="19050">
          <a:noFill/>
        </a:ln>
        <a:effectLst>
          <a:softEdge rad="12700"/>
        </a:effec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4320000</xdr:colOff>
      <xdr:row>7</xdr:row>
      <xdr:rowOff>7016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27" b="3565"/>
        <a:stretch/>
      </xdr:blipFill>
      <xdr:spPr>
        <a:xfrm>
          <a:off x="1238250" y="15135225"/>
          <a:ext cx="4320000" cy="3493166"/>
        </a:xfrm>
        <a:prstGeom prst="rect">
          <a:avLst/>
        </a:prstGeom>
        <a:ln w="19050">
          <a:noFill/>
        </a:ln>
        <a:effectLst>
          <a:softEdge rad="12700"/>
        </a:effec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4320000</xdr:colOff>
      <xdr:row>7</xdr:row>
      <xdr:rowOff>3251721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67" t="8920" r="8795" b="7777"/>
        <a:stretch/>
      </xdr:blipFill>
      <xdr:spPr>
        <a:xfrm>
          <a:off x="1238250" y="18811875"/>
          <a:ext cx="4320000" cy="3251721"/>
        </a:xfrm>
        <a:prstGeom prst="rect">
          <a:avLst/>
        </a:prstGeom>
        <a:ln w="19050">
          <a:noFill/>
        </a:ln>
        <a:effectLst>
          <a:softEdge rad="12700"/>
        </a:effec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4320000</xdr:colOff>
      <xdr:row>2</xdr:row>
      <xdr:rowOff>3456000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323850"/>
          <a:ext cx="4320000" cy="3456000"/>
        </a:xfrm>
        <a:prstGeom prst="rect">
          <a:avLst/>
        </a:prstGeom>
        <a:ln w="19050">
          <a:noFill/>
        </a:ln>
        <a:effectLst>
          <a:softEdge rad="12700"/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3C2D0D-16C7-4DDE-B707-A912537559FE}" name="Tabelle22" displayName="Tabelle22" ref="A1:B9" totalsRowShown="0" headerRowDxfId="8" dataDxfId="7">
  <autoFilter ref="A1:B9" xr:uid="{624698C0-BB31-4442-8AA4-4A887AECB0B0}"/>
  <tableColumns count="2">
    <tableColumn id="1" xr3:uid="{A05BCC68-F3A2-4E06-B021-A6ACDBDA2EAC}" name="Spalte1" dataDxfId="6"/>
    <tableColumn id="2" xr3:uid="{9DD43D72-1A22-440F-B400-C3D70CA3AA52}" name="Spalte2" dataDxfId="5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33"/>
  <sheetViews>
    <sheetView showGridLines="0" tabSelected="1" zoomScaleNormal="100" workbookViewId="0">
      <selection activeCell="K3" sqref="K3"/>
    </sheetView>
  </sheetViews>
  <sheetFormatPr baseColWidth="10" defaultColWidth="11.42578125" defaultRowHeight="23.25" customHeight="1" x14ac:dyDescent="0.3"/>
  <cols>
    <col min="1" max="1" width="3.7109375" style="10" customWidth="1"/>
    <col min="2" max="2" width="58.7109375" style="10" customWidth="1"/>
    <col min="3" max="3" width="11.7109375" style="11" customWidth="1"/>
    <col min="4" max="4" width="13.7109375" style="10" customWidth="1"/>
    <col min="5" max="5" width="10.42578125" style="10" customWidth="1"/>
    <col min="6" max="6" width="12.7109375" style="10" customWidth="1"/>
    <col min="7" max="7" width="26" style="10" bestFit="1" customWidth="1"/>
    <col min="8" max="8" width="19.42578125" style="10" customWidth="1"/>
    <col min="9" max="9" width="16.140625" style="10" customWidth="1"/>
    <col min="10" max="10" width="17.5703125" style="10" bestFit="1" customWidth="1"/>
    <col min="11" max="11" width="8" style="10" bestFit="1" customWidth="1"/>
    <col min="12" max="12" width="5.140625" style="10" bestFit="1" customWidth="1"/>
    <col min="13" max="13" width="18.7109375" style="12" customWidth="1"/>
    <col min="14" max="14" width="3.7109375" style="10" customWidth="1"/>
    <col min="15" max="16384" width="11.42578125" style="10"/>
  </cols>
  <sheetData>
    <row r="1" spans="1:17" ht="18" customHeight="1" x14ac:dyDescent="0.3"/>
    <row r="2" spans="1:17" ht="24.95" customHeight="1" x14ac:dyDescent="0.45">
      <c r="B2" s="7" t="s">
        <v>50</v>
      </c>
      <c r="C2" s="87"/>
      <c r="D2" s="87"/>
      <c r="E2" s="87"/>
      <c r="F2" s="87"/>
      <c r="G2" s="87"/>
      <c r="H2" s="87"/>
      <c r="I2" s="87"/>
      <c r="J2" s="87"/>
      <c r="K2" s="9"/>
      <c r="L2" s="9"/>
      <c r="M2" s="9"/>
    </row>
    <row r="3" spans="1:17" ht="24.95" customHeight="1" x14ac:dyDescent="0.3">
      <c r="B3" s="25" t="s">
        <v>119</v>
      </c>
      <c r="C3" s="87"/>
      <c r="D3" s="87"/>
      <c r="E3" s="87"/>
      <c r="F3" s="87"/>
      <c r="G3" s="87"/>
      <c r="H3" s="87"/>
      <c r="I3" s="87"/>
      <c r="J3" s="87"/>
      <c r="K3" s="77">
        <v>1</v>
      </c>
      <c r="L3" s="9"/>
      <c r="M3" s="9"/>
    </row>
    <row r="4" spans="1:17" ht="15" customHeight="1" x14ac:dyDescent="0.3">
      <c r="B4" s="23"/>
      <c r="C4" s="87"/>
      <c r="D4" s="87"/>
      <c r="E4" s="87"/>
      <c r="F4" s="87"/>
      <c r="G4" s="87"/>
      <c r="H4" s="87"/>
      <c r="I4" s="87"/>
      <c r="J4" s="87"/>
      <c r="K4" s="8"/>
      <c r="L4" s="8"/>
      <c r="M4" s="24"/>
    </row>
    <row r="5" spans="1:17" ht="23.25" customHeight="1" x14ac:dyDescent="0.3">
      <c r="B5" s="61" t="s">
        <v>124</v>
      </c>
      <c r="C5" s="42"/>
      <c r="D5" s="60"/>
      <c r="E5" s="60"/>
      <c r="F5" s="60"/>
      <c r="G5" s="14" t="s">
        <v>125</v>
      </c>
    </row>
    <row r="6" spans="1:17" ht="23.25" customHeight="1" x14ac:dyDescent="0.3">
      <c r="B6" s="60" t="s">
        <v>47</v>
      </c>
      <c r="C6" s="26">
        <v>3</v>
      </c>
      <c r="D6" s="62" t="s">
        <v>20</v>
      </c>
      <c r="E6" s="60"/>
      <c r="F6" s="60"/>
      <c r="G6" s="60" t="s">
        <v>122</v>
      </c>
      <c r="H6" s="15">
        <v>1</v>
      </c>
      <c r="I6" s="42"/>
      <c r="J6" s="54" t="s">
        <v>72</v>
      </c>
      <c r="K6" s="50">
        <f>LOOKUP(H6,Constants!B36:B37,Constants!E36:E37)</f>
        <v>0.32</v>
      </c>
      <c r="L6" s="54" t="s">
        <v>108</v>
      </c>
      <c r="O6" s="16"/>
      <c r="P6" s="16"/>
    </row>
    <row r="7" spans="1:17" ht="23.25" customHeight="1" x14ac:dyDescent="0.3">
      <c r="B7" s="60" t="s">
        <v>49</v>
      </c>
      <c r="C7" s="66">
        <v>3</v>
      </c>
      <c r="D7" s="60"/>
      <c r="E7" s="68">
        <f>LOOKUP(C7,Constants!B22:B24,Constants!C22:C24)</f>
        <v>24</v>
      </c>
      <c r="F7" s="68" t="s">
        <v>15</v>
      </c>
      <c r="G7" s="85" t="s">
        <v>123</v>
      </c>
      <c r="H7" s="15">
        <v>1</v>
      </c>
      <c r="I7" s="42">
        <f>IF(H6=2,3+H7,H7)</f>
        <v>1</v>
      </c>
      <c r="J7" s="52" t="s">
        <v>116</v>
      </c>
      <c r="K7" s="53" t="str">
        <f>LOOKUP(H7,Constants!B17:B19,Constants!A17:A19)</f>
        <v>EP, TMF, TMO</v>
      </c>
      <c r="L7" s="52"/>
      <c r="M7" s="80"/>
      <c r="N7" s="81"/>
      <c r="O7" s="81"/>
      <c r="P7" s="81"/>
      <c r="Q7" s="81"/>
    </row>
    <row r="8" spans="1:17" ht="23.25" customHeight="1" x14ac:dyDescent="0.3">
      <c r="B8" s="60" t="s">
        <v>115</v>
      </c>
      <c r="C8" s="26">
        <v>50</v>
      </c>
      <c r="D8" s="62" t="s">
        <v>19</v>
      </c>
      <c r="E8" s="60"/>
      <c r="F8" s="60"/>
      <c r="G8" s="84"/>
      <c r="L8" s="16"/>
      <c r="M8" s="80"/>
      <c r="N8" s="81"/>
      <c r="O8" s="81"/>
      <c r="P8" s="81"/>
      <c r="Q8" s="81"/>
    </row>
    <row r="9" spans="1:17" ht="3" customHeight="1" x14ac:dyDescent="0.3">
      <c r="B9" s="60"/>
      <c r="C9" s="60"/>
      <c r="D9" s="60"/>
      <c r="E9" s="60"/>
      <c r="F9" s="48"/>
      <c r="G9" s="10" t="e">
        <f>VLOOKUP(I7,Constants!#REF!,2,FALSE)</f>
        <v>#REF!</v>
      </c>
      <c r="H9" s="83" t="e">
        <f>Constants!#REF!</f>
        <v>#REF!</v>
      </c>
      <c r="L9" s="16"/>
      <c r="M9" s="80"/>
      <c r="N9" s="81"/>
      <c r="O9" s="81"/>
      <c r="P9" s="81"/>
      <c r="Q9" s="81"/>
    </row>
    <row r="10" spans="1:17" ht="23.25" customHeight="1" x14ac:dyDescent="0.3">
      <c r="B10" s="60" t="s">
        <v>85</v>
      </c>
      <c r="C10" s="26">
        <v>120</v>
      </c>
      <c r="D10" s="51" t="s">
        <v>23</v>
      </c>
      <c r="E10" s="60"/>
      <c r="F10" s="48"/>
      <c r="H10" s="88"/>
      <c r="I10" s="88"/>
      <c r="J10" s="88"/>
      <c r="K10" s="88"/>
      <c r="L10" s="88"/>
      <c r="M10" s="80"/>
      <c r="N10" s="81"/>
      <c r="O10" s="81"/>
      <c r="P10" s="81"/>
      <c r="Q10" s="81"/>
    </row>
    <row r="11" spans="1:17" ht="23.25" customHeight="1" x14ac:dyDescent="0.3">
      <c r="B11" s="60" t="s">
        <v>105</v>
      </c>
      <c r="C11" s="66">
        <v>3</v>
      </c>
      <c r="D11" s="71"/>
      <c r="E11" s="72">
        <f>LOOKUP(C11,Constants!B27:B33,Constants!D27:D33)</f>
        <v>1</v>
      </c>
      <c r="F11" s="60"/>
      <c r="H11" s="88"/>
      <c r="I11" s="88"/>
      <c r="J11" s="88"/>
      <c r="K11" s="88"/>
      <c r="L11" s="88"/>
      <c r="M11" s="80"/>
      <c r="N11" s="81"/>
      <c r="O11" s="81"/>
      <c r="P11" s="81"/>
      <c r="Q11" s="81"/>
    </row>
    <row r="12" spans="1:17" ht="23.25" customHeight="1" x14ac:dyDescent="0.3">
      <c r="B12" s="60" t="s">
        <v>121</v>
      </c>
      <c r="C12" s="73">
        <v>1</v>
      </c>
      <c r="D12" s="74"/>
      <c r="E12" s="48"/>
      <c r="F12" s="60"/>
      <c r="H12" s="88"/>
      <c r="I12" s="88"/>
      <c r="J12" s="88"/>
      <c r="K12" s="88"/>
      <c r="L12" s="88"/>
      <c r="M12" s="80"/>
      <c r="N12" s="81"/>
      <c r="O12" s="81"/>
      <c r="P12" s="81"/>
      <c r="Q12" s="81"/>
    </row>
    <row r="13" spans="1:17" ht="23.25" customHeight="1" x14ac:dyDescent="0.3">
      <c r="C13" s="10"/>
      <c r="H13" s="88"/>
      <c r="I13" s="88"/>
      <c r="J13" s="88"/>
      <c r="K13" s="88"/>
      <c r="L13" s="88"/>
      <c r="M13" s="80"/>
      <c r="N13" s="81"/>
      <c r="O13" s="81"/>
      <c r="P13" s="81"/>
      <c r="Q13" s="81"/>
    </row>
    <row r="14" spans="1:17" ht="23.25" customHeight="1" x14ac:dyDescent="0.3">
      <c r="D14" s="18"/>
      <c r="E14" s="19"/>
      <c r="H14" s="88"/>
      <c r="I14" s="88"/>
      <c r="J14" s="88"/>
      <c r="K14" s="88"/>
      <c r="L14" s="88"/>
      <c r="M14" s="80"/>
      <c r="N14" s="81"/>
      <c r="O14" s="81"/>
      <c r="P14" s="81"/>
      <c r="Q14" s="81"/>
    </row>
    <row r="15" spans="1:17" ht="23.25" customHeight="1" x14ac:dyDescent="0.3">
      <c r="A15" s="60"/>
      <c r="B15" s="61" t="s">
        <v>126</v>
      </c>
      <c r="C15" s="42"/>
      <c r="D15" s="67"/>
      <c r="E15" s="68"/>
      <c r="F15" s="60"/>
      <c r="H15" s="88"/>
      <c r="I15" s="88"/>
      <c r="J15" s="88"/>
      <c r="K15" s="88"/>
      <c r="L15" s="88"/>
      <c r="M15" s="80"/>
      <c r="N15" s="81"/>
      <c r="O15" s="81"/>
      <c r="P15" s="81"/>
      <c r="Q15" s="81"/>
    </row>
    <row r="16" spans="1:17" ht="23.25" customHeight="1" x14ac:dyDescent="0.3">
      <c r="A16" s="60"/>
      <c r="B16" s="60" t="s">
        <v>57</v>
      </c>
      <c r="C16" s="40">
        <f>((LOOKUP(C12,Constants!B13:B14,Constants!C13:C14))*$E$11)</f>
        <v>0.3</v>
      </c>
      <c r="D16" s="51" t="s">
        <v>69</v>
      </c>
      <c r="E16" s="68"/>
      <c r="F16" s="60"/>
      <c r="H16" s="88"/>
      <c r="I16" s="88"/>
      <c r="J16" s="88"/>
      <c r="K16" s="88"/>
      <c r="L16" s="88"/>
      <c r="M16" s="80"/>
      <c r="N16" s="81"/>
      <c r="O16" s="81"/>
      <c r="P16" s="81"/>
      <c r="Q16" s="81"/>
    </row>
    <row r="17" spans="1:17" ht="23.25" customHeight="1" x14ac:dyDescent="0.3">
      <c r="A17" s="60"/>
      <c r="B17" s="60" t="s">
        <v>56</v>
      </c>
      <c r="C17" s="41">
        <f>IF(C12=1,((LOOKUP($H$7,Constants!B52:B54,Constants!C52:C54))*$E$11),((LOOKUP($H$7,Constants!B52:B54,Constants!D52:D54)))*$E$11)</f>
        <v>0.89999999999999991</v>
      </c>
      <c r="D17" s="51" t="s">
        <v>69</v>
      </c>
      <c r="E17" s="68"/>
      <c r="F17" s="60"/>
      <c r="H17" s="88"/>
      <c r="I17" s="88"/>
      <c r="J17" s="88"/>
      <c r="K17" s="88"/>
      <c r="L17" s="88"/>
      <c r="M17" s="80"/>
      <c r="N17" s="81"/>
      <c r="O17" s="81"/>
      <c r="P17" s="81"/>
      <c r="Q17" s="81"/>
    </row>
    <row r="18" spans="1:17" ht="21.95" customHeight="1" x14ac:dyDescent="0.3">
      <c r="A18" s="60"/>
      <c r="B18" s="60"/>
      <c r="C18" s="42"/>
      <c r="D18" s="60"/>
      <c r="E18" s="60"/>
      <c r="F18" s="60"/>
      <c r="H18" s="88"/>
      <c r="I18" s="88"/>
      <c r="J18" s="88"/>
      <c r="K18" s="88"/>
      <c r="L18" s="88"/>
      <c r="M18" s="80"/>
      <c r="N18" s="81"/>
      <c r="O18" s="81"/>
      <c r="P18" s="81"/>
      <c r="Q18" s="81"/>
    </row>
    <row r="19" spans="1:17" ht="23.25" customHeight="1" x14ac:dyDescent="0.3">
      <c r="A19" s="60"/>
      <c r="B19" s="61" t="s">
        <v>127</v>
      </c>
      <c r="C19" s="42"/>
      <c r="D19" s="60"/>
      <c r="E19" s="62"/>
      <c r="F19" s="60"/>
      <c r="H19" s="88"/>
      <c r="I19" s="88"/>
      <c r="J19" s="88"/>
      <c r="K19" s="88"/>
      <c r="L19" s="88"/>
      <c r="M19" s="80"/>
      <c r="N19" s="81"/>
      <c r="O19" s="81"/>
      <c r="P19" s="81"/>
      <c r="Q19" s="81"/>
    </row>
    <row r="20" spans="1:17" ht="23.25" customHeight="1" x14ac:dyDescent="0.3">
      <c r="A20" s="60"/>
      <c r="B20" s="63" t="s">
        <v>51</v>
      </c>
      <c r="C20" s="47">
        <f>IF(K3=1,(C8/100*E7*C6*3.6),(C10))</f>
        <v>129.6</v>
      </c>
      <c r="D20" s="51" t="s">
        <v>23</v>
      </c>
      <c r="E20" s="64" t="str">
        <f>IF(K3&lt;&gt;2,(Constants!C66),(Constants!C67))</f>
        <v>calculated</v>
      </c>
      <c r="F20" s="51"/>
      <c r="H20" s="88"/>
      <c r="I20" s="88"/>
      <c r="J20" s="88"/>
      <c r="K20" s="88"/>
      <c r="L20" s="88"/>
      <c r="M20" s="80"/>
      <c r="N20" s="82"/>
      <c r="O20" s="81"/>
      <c r="P20" s="81"/>
      <c r="Q20" s="81"/>
    </row>
    <row r="21" spans="1:17" ht="23.25" customHeight="1" x14ac:dyDescent="0.3">
      <c r="A21" s="60"/>
      <c r="B21" s="63" t="s">
        <v>52</v>
      </c>
      <c r="C21" s="43">
        <f>C17*C20/100</f>
        <v>1.1663999999999999</v>
      </c>
      <c r="D21" s="51" t="s">
        <v>70</v>
      </c>
      <c r="E21" s="60"/>
      <c r="F21" s="60"/>
      <c r="H21" s="88"/>
      <c r="I21" s="88"/>
      <c r="J21" s="88"/>
      <c r="K21" s="88"/>
      <c r="L21" s="88"/>
      <c r="M21" s="80"/>
      <c r="N21" s="82"/>
      <c r="O21" s="81"/>
      <c r="P21" s="81"/>
      <c r="Q21" s="81"/>
    </row>
    <row r="22" spans="1:17" ht="23.25" customHeight="1" x14ac:dyDescent="0.3">
      <c r="A22" s="60"/>
      <c r="B22" s="63" t="s">
        <v>65</v>
      </c>
      <c r="C22" s="43">
        <f>C17*E22</f>
        <v>0.44999999999999996</v>
      </c>
      <c r="D22" s="51" t="s">
        <v>71</v>
      </c>
      <c r="E22" s="65">
        <f>INDEX(Constants!$F$40:$G$42,LubriCalc!$H$7,LubriCalc!$H$6)</f>
        <v>0.5</v>
      </c>
      <c r="F22" s="51"/>
      <c r="H22" s="88"/>
      <c r="I22" s="88"/>
      <c r="J22" s="88"/>
      <c r="K22" s="88"/>
      <c r="L22" s="88"/>
      <c r="M22" s="80"/>
      <c r="N22" s="82"/>
      <c r="O22" s="81"/>
      <c r="P22" s="81"/>
      <c r="Q22" s="81"/>
    </row>
    <row r="23" spans="1:17" ht="23.25" customHeight="1" x14ac:dyDescent="0.3">
      <c r="A23" s="60"/>
      <c r="B23" s="63" t="s">
        <v>66</v>
      </c>
      <c r="C23" s="43">
        <f>C17*E23</f>
        <v>0.22499999999999998</v>
      </c>
      <c r="D23" s="51" t="s">
        <v>71</v>
      </c>
      <c r="E23" s="65">
        <f>INDEX(Constants!$F$43:$G$45,LubriCalc!$H$7,LubriCalc!$H$6)</f>
        <v>0.25</v>
      </c>
      <c r="F23" s="51"/>
      <c r="G23" s="86"/>
      <c r="H23" s="86"/>
      <c r="I23" s="86"/>
      <c r="J23" s="86"/>
      <c r="K23" s="49"/>
      <c r="L23" s="49"/>
      <c r="M23" s="80"/>
      <c r="N23" s="82"/>
      <c r="O23" s="81"/>
      <c r="P23" s="81"/>
      <c r="Q23" s="81"/>
    </row>
    <row r="24" spans="1:17" ht="23.25" customHeight="1" x14ac:dyDescent="0.3">
      <c r="A24" s="60"/>
      <c r="B24" s="60" t="s">
        <v>55</v>
      </c>
      <c r="C24" s="44">
        <f>IF(E24&gt;ConstMaxReplTime,(ConstMaxReplTime),ROUNDDOWN(LubriCalc!E24,0))</f>
        <v>11</v>
      </c>
      <c r="D24" s="51" t="s">
        <v>18</v>
      </c>
      <c r="E24" s="75">
        <f>ConstCartVol/(LubriCalc!C21*ConstMonthDay)</f>
        <v>11.431184270690444</v>
      </c>
      <c r="F24" s="48" t="s">
        <v>86</v>
      </c>
      <c r="L24" s="16"/>
      <c r="M24" s="80"/>
      <c r="N24" s="81"/>
      <c r="O24" s="81"/>
      <c r="P24" s="81"/>
      <c r="Q24" s="81"/>
    </row>
    <row r="25" spans="1:17" ht="23.25" customHeight="1" x14ac:dyDescent="0.3">
      <c r="A25" s="60"/>
      <c r="B25" s="69" t="str">
        <f>LOOKUP(LubriCalc!H6,Constants!B47:B48,Constants!C47:C48)</f>
        <v>P2</v>
      </c>
      <c r="C25" s="45">
        <f>IF(H6=1,LOOKUP(H7,Constants!B40:B42,Constants!D40:D42),LOOKUP(H7,Constants!B40:B42,Constants!E40:E42))</f>
        <v>3</v>
      </c>
      <c r="D25" s="62"/>
      <c r="E25" s="62"/>
      <c r="F25" s="60"/>
      <c r="L25" s="16"/>
      <c r="M25" s="80"/>
      <c r="N25" s="81"/>
      <c r="O25" s="81"/>
      <c r="P25" s="81"/>
      <c r="Q25" s="81"/>
    </row>
    <row r="26" spans="1:17" ht="23.25" customHeight="1" x14ac:dyDescent="0.3">
      <c r="A26" s="60"/>
      <c r="B26" s="70" t="s">
        <v>46</v>
      </c>
      <c r="C26" s="76">
        <f>1/((C17/(C25*K6)))*100</f>
        <v>106.66666666666669</v>
      </c>
      <c r="D26" s="62" t="s">
        <v>14</v>
      </c>
      <c r="E26" s="62"/>
      <c r="F26" s="60"/>
      <c r="L26" s="16"/>
      <c r="M26" s="80"/>
      <c r="N26" s="81"/>
      <c r="O26" s="81"/>
      <c r="P26" s="81"/>
      <c r="Q26" s="81"/>
    </row>
    <row r="27" spans="1:17" ht="23.25" customHeight="1" x14ac:dyDescent="0.3">
      <c r="A27" s="60"/>
      <c r="B27" s="60"/>
      <c r="C27" s="42"/>
      <c r="D27" s="60"/>
      <c r="E27" s="62"/>
      <c r="F27" s="60"/>
      <c r="L27" s="16"/>
      <c r="M27" s="17"/>
      <c r="N27" s="17"/>
      <c r="O27" s="16"/>
      <c r="P27" s="21"/>
    </row>
    <row r="28" spans="1:17" ht="23.25" customHeight="1" x14ac:dyDescent="0.3">
      <c r="A28" s="60"/>
      <c r="B28" s="61" t="s">
        <v>128</v>
      </c>
      <c r="C28" s="42"/>
      <c r="D28" s="60"/>
      <c r="E28" s="62"/>
      <c r="F28" s="60"/>
      <c r="L28" s="16"/>
      <c r="M28" s="17"/>
      <c r="N28" s="21"/>
      <c r="O28" s="20"/>
      <c r="P28" s="16"/>
    </row>
    <row r="29" spans="1:17" ht="23.25" customHeight="1" x14ac:dyDescent="0.3">
      <c r="A29" s="60"/>
      <c r="B29" s="63" t="s">
        <v>61</v>
      </c>
      <c r="C29" s="43">
        <f>$C$21*$E$29</f>
        <v>0.58319999999999994</v>
      </c>
      <c r="D29" s="51" t="s">
        <v>70</v>
      </c>
      <c r="E29" s="65">
        <f>INDEX(Constants!$F$40:$G$42,LubriCalc!$H$7,LubriCalc!$H$6)</f>
        <v>0.5</v>
      </c>
      <c r="F29" s="60"/>
      <c r="L29" s="16"/>
      <c r="M29" s="17"/>
      <c r="N29" s="21"/>
      <c r="O29" s="20"/>
      <c r="P29" s="16"/>
    </row>
    <row r="30" spans="1:17" ht="23.25" customHeight="1" x14ac:dyDescent="0.3">
      <c r="A30" s="60"/>
      <c r="B30" s="63" t="s">
        <v>58</v>
      </c>
      <c r="C30" s="43">
        <f>$C$21*$E$30</f>
        <v>0.29159999999999997</v>
      </c>
      <c r="D30" s="51" t="s">
        <v>70</v>
      </c>
      <c r="E30" s="65">
        <f>INDEX(Constants!$F$43:$G$45,LubriCalc!$H$7,LubriCalc!$H$6)</f>
        <v>0.25</v>
      </c>
      <c r="F30" s="60"/>
      <c r="M30" s="17"/>
      <c r="N30" s="16"/>
      <c r="O30" s="16"/>
      <c r="P30" s="16"/>
    </row>
    <row r="31" spans="1:17" ht="23.25" customHeight="1" x14ac:dyDescent="0.3">
      <c r="A31" s="60"/>
      <c r="B31" s="60" t="s">
        <v>53</v>
      </c>
      <c r="C31" s="46">
        <f>C20*ConstMonthDay*E24</f>
        <v>44444.444444444445</v>
      </c>
      <c r="D31" s="51" t="s">
        <v>14</v>
      </c>
      <c r="E31" s="70"/>
      <c r="F31" s="60"/>
    </row>
    <row r="32" spans="1:17" ht="23.25" customHeight="1" x14ac:dyDescent="0.3">
      <c r="A32" s="60"/>
      <c r="B32" s="60" t="s">
        <v>54</v>
      </c>
      <c r="C32" s="42">
        <f>ROUNDDOWN(C31/C26,0)</f>
        <v>416</v>
      </c>
      <c r="D32" s="51" t="s">
        <v>25</v>
      </c>
      <c r="E32" s="62"/>
      <c r="F32" s="62"/>
    </row>
    <row r="33" spans="3:5" ht="120" customHeight="1" x14ac:dyDescent="0.3">
      <c r="C33" s="22"/>
      <c r="D33" s="22"/>
      <c r="E33" s="13"/>
    </row>
  </sheetData>
  <sheetProtection sheet="1" selectLockedCells="1"/>
  <mergeCells count="3">
    <mergeCell ref="G23:J23"/>
    <mergeCell ref="C2:J4"/>
    <mergeCell ref="H10:L22"/>
  </mergeCells>
  <conditionalFormatting sqref="B6:B8">
    <cfRule type="expression" dxfId="4" priority="33">
      <formula>$K$3=2</formula>
    </cfRule>
  </conditionalFormatting>
  <conditionalFormatting sqref="B10">
    <cfRule type="expression" dxfId="3" priority="34">
      <formula>$K$3=1</formula>
    </cfRule>
  </conditionalFormatting>
  <conditionalFormatting sqref="C6 C8">
    <cfRule type="expression" dxfId="2" priority="31">
      <formula>$K$3=2</formula>
    </cfRule>
  </conditionalFormatting>
  <conditionalFormatting sqref="C10">
    <cfRule type="expression" dxfId="1" priority="30">
      <formula>$K$3=1</formula>
    </cfRule>
  </conditionalFormatting>
  <conditionalFormatting sqref="F22:F23">
    <cfRule type="expression" dxfId="0" priority="35">
      <formula>$K$3=2</formula>
    </cfRule>
  </conditionalFormatting>
  <pageMargins left="0.7" right="0.7" top="0.78740157499999996" bottom="0.78740157499999996" header="0.3" footer="0.3"/>
  <pageSetup paperSize="9" scale="62" orientation="landscape" r:id="rId1"/>
  <ignoredErrors>
    <ignoredError sqref="G9:H9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Option Button 10">
              <controlPr locked="0" defaultSize="0" autoFill="0" autoLine="0" autoPict="0">
                <anchor moveWithCells="1">
                  <from>
                    <xdr:col>3</xdr:col>
                    <xdr:colOff>800100</xdr:colOff>
                    <xdr:row>1</xdr:row>
                    <xdr:rowOff>190500</xdr:rowOff>
                  </from>
                  <to>
                    <xdr:col>5</xdr:col>
                    <xdr:colOff>628650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5" name="Drop Down 1">
              <controlPr locked="0" defaultSize="0" autoLine="0" autoPict="0">
                <anchor moveWithCells="1">
                  <from>
                    <xdr:col>2</xdr:col>
                    <xdr:colOff>0</xdr:colOff>
                    <xdr:row>6</xdr:row>
                    <xdr:rowOff>28575</xdr:rowOff>
                  </from>
                  <to>
                    <xdr:col>3</xdr:col>
                    <xdr:colOff>219075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Drop Down 2">
              <controlPr locked="0" defaultSize="0" autoLine="0" autoPict="0">
                <anchor moveWithCells="1">
                  <from>
                    <xdr:col>2</xdr:col>
                    <xdr:colOff>0</xdr:colOff>
                    <xdr:row>10</xdr:row>
                    <xdr:rowOff>47625</xdr:rowOff>
                  </from>
                  <to>
                    <xdr:col>3</xdr:col>
                    <xdr:colOff>295275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Drop Down 3">
              <controlPr locked="0" defaultSize="0" autoLine="0" autoPict="0">
                <anchor moveWithCells="1">
                  <from>
                    <xdr:col>7</xdr:col>
                    <xdr:colOff>171450</xdr:colOff>
                    <xdr:row>5</xdr:row>
                    <xdr:rowOff>57150</xdr:rowOff>
                  </from>
                  <to>
                    <xdr:col>8</xdr:col>
                    <xdr:colOff>1038225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Drop Down 4">
              <controlPr locked="0" defaultSize="0" autoLine="0" autoPict="0">
                <anchor moveWithCells="1">
                  <from>
                    <xdr:col>7</xdr:col>
                    <xdr:colOff>171450</xdr:colOff>
                    <xdr:row>6</xdr:row>
                    <xdr:rowOff>66675</xdr:rowOff>
                  </from>
                  <to>
                    <xdr:col>8</xdr:col>
                    <xdr:colOff>1038225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locked="0" defaultSize="0" autoLine="0" autoPict="0">
                <anchor moveWithCells="1">
                  <from>
                    <xdr:col>2</xdr:col>
                    <xdr:colOff>0</xdr:colOff>
                    <xdr:row>11</xdr:row>
                    <xdr:rowOff>66675</xdr:rowOff>
                  </from>
                  <to>
                    <xdr:col>3</xdr:col>
                    <xdr:colOff>295275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Option Button 1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</xdr:row>
                    <xdr:rowOff>190500</xdr:rowOff>
                  </from>
                  <to>
                    <xdr:col>3</xdr:col>
                    <xdr:colOff>657225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H67"/>
  <sheetViews>
    <sheetView zoomScaleNormal="100" workbookViewId="0">
      <selection activeCell="I43" sqref="I43"/>
    </sheetView>
  </sheetViews>
  <sheetFormatPr baseColWidth="10" defaultColWidth="11.42578125" defaultRowHeight="12.75" x14ac:dyDescent="0.2"/>
  <cols>
    <col min="1" max="1" width="16.42578125" style="2" customWidth="1"/>
    <col min="2" max="2" width="3.42578125" style="2" bestFit="1" customWidth="1"/>
    <col min="3" max="3" width="31" style="2" bestFit="1" customWidth="1"/>
    <col min="4" max="4" width="18" style="2" bestFit="1" customWidth="1"/>
    <col min="5" max="5" width="18.5703125" style="2" bestFit="1" customWidth="1"/>
    <col min="6" max="6" width="12.85546875" style="2" bestFit="1" customWidth="1"/>
    <col min="7" max="7" width="11.42578125" style="2"/>
    <col min="8" max="8" width="18.5703125" style="2" bestFit="1" customWidth="1"/>
    <col min="9" max="9" width="70.7109375" style="2" customWidth="1"/>
    <col min="10" max="16384" width="11.42578125" style="2"/>
  </cols>
  <sheetData>
    <row r="1" spans="1:5" x14ac:dyDescent="0.2">
      <c r="A1" s="55"/>
      <c r="B1" s="55"/>
      <c r="C1" s="55"/>
      <c r="D1" s="55"/>
    </row>
    <row r="2" spans="1:5" x14ac:dyDescent="0.2">
      <c r="A2" s="55"/>
      <c r="B2" s="55"/>
      <c r="C2" s="55"/>
      <c r="D2" s="55"/>
    </row>
    <row r="3" spans="1:5" x14ac:dyDescent="0.2">
      <c r="A3" s="55" t="s">
        <v>12</v>
      </c>
      <c r="B3" s="55"/>
      <c r="C3" s="55"/>
      <c r="D3" s="55"/>
    </row>
    <row r="4" spans="1:5" x14ac:dyDescent="0.2">
      <c r="A4" s="55"/>
      <c r="B4" s="55"/>
      <c r="C4" s="55"/>
      <c r="D4" s="55"/>
      <c r="E4" s="2" t="s">
        <v>8</v>
      </c>
    </row>
    <row r="5" spans="1:5" x14ac:dyDescent="0.2">
      <c r="A5" s="55" t="s">
        <v>16</v>
      </c>
      <c r="C5" s="1">
        <v>100</v>
      </c>
      <c r="D5" s="2" t="s">
        <v>14</v>
      </c>
      <c r="E5" s="2" t="s">
        <v>30</v>
      </c>
    </row>
    <row r="6" spans="1:5" x14ac:dyDescent="0.2">
      <c r="A6" s="55" t="s">
        <v>16</v>
      </c>
      <c r="C6" s="1">
        <v>3</v>
      </c>
      <c r="D6" s="2" t="s">
        <v>24</v>
      </c>
      <c r="E6" s="2" t="s">
        <v>29</v>
      </c>
    </row>
    <row r="7" spans="1:5" x14ac:dyDescent="0.2">
      <c r="A7" s="55" t="s">
        <v>17</v>
      </c>
      <c r="C7" s="1">
        <v>36</v>
      </c>
      <c r="D7" s="2" t="s">
        <v>18</v>
      </c>
      <c r="E7" s="2" t="s">
        <v>28</v>
      </c>
    </row>
    <row r="8" spans="1:5" x14ac:dyDescent="0.2">
      <c r="A8" s="2" t="s">
        <v>48</v>
      </c>
      <c r="C8" s="1">
        <v>400</v>
      </c>
      <c r="D8" s="2" t="s">
        <v>22</v>
      </c>
      <c r="E8" s="2" t="s">
        <v>31</v>
      </c>
    </row>
    <row r="9" spans="1:5" x14ac:dyDescent="0.2">
      <c r="A9" s="2" t="s">
        <v>27</v>
      </c>
      <c r="C9" s="1">
        <v>0.16</v>
      </c>
      <c r="D9" s="2" t="s">
        <v>22</v>
      </c>
      <c r="E9" s="2" t="s">
        <v>32</v>
      </c>
    </row>
    <row r="10" spans="1:5" x14ac:dyDescent="0.2">
      <c r="A10" s="2" t="s">
        <v>33</v>
      </c>
      <c r="C10" s="3">
        <v>30</v>
      </c>
      <c r="D10" s="2" t="s">
        <v>34</v>
      </c>
      <c r="E10" s="2" t="s">
        <v>35</v>
      </c>
    </row>
    <row r="12" spans="1:5" x14ac:dyDescent="0.2">
      <c r="A12" s="2" t="s">
        <v>42</v>
      </c>
    </row>
    <row r="13" spans="1:5" x14ac:dyDescent="0.2">
      <c r="A13" s="2" t="s">
        <v>103</v>
      </c>
      <c r="B13" s="2">
        <v>1</v>
      </c>
      <c r="C13" s="1">
        <v>0.3</v>
      </c>
      <c r="D13" s="2" t="s">
        <v>43</v>
      </c>
    </row>
    <row r="14" spans="1:5" x14ac:dyDescent="0.2">
      <c r="A14" s="2" t="s">
        <v>104</v>
      </c>
      <c r="B14" s="2">
        <v>2</v>
      </c>
      <c r="C14" s="1">
        <v>0.4</v>
      </c>
      <c r="D14" s="2" t="s">
        <v>43</v>
      </c>
    </row>
    <row r="16" spans="1:5" x14ac:dyDescent="0.2">
      <c r="A16" s="2" t="s">
        <v>44</v>
      </c>
    </row>
    <row r="17" spans="1:4" x14ac:dyDescent="0.2">
      <c r="A17" s="2" t="s">
        <v>45</v>
      </c>
      <c r="B17" s="2">
        <v>1</v>
      </c>
      <c r="C17" s="1">
        <v>3</v>
      </c>
    </row>
    <row r="18" spans="1:4" x14ac:dyDescent="0.2">
      <c r="A18" s="2" t="s">
        <v>106</v>
      </c>
      <c r="B18" s="2">
        <v>2</v>
      </c>
      <c r="C18" s="1">
        <v>6</v>
      </c>
    </row>
    <row r="19" spans="1:4" x14ac:dyDescent="0.2">
      <c r="A19" s="2" t="s">
        <v>107</v>
      </c>
      <c r="B19" s="2">
        <v>3</v>
      </c>
      <c r="C19" s="1">
        <v>4</v>
      </c>
    </row>
    <row r="21" spans="1:4" x14ac:dyDescent="0.2">
      <c r="A21" s="55"/>
      <c r="B21" s="55" t="s">
        <v>9</v>
      </c>
      <c r="C21" s="55" t="s">
        <v>10</v>
      </c>
      <c r="D21" s="55"/>
    </row>
    <row r="22" spans="1:4" x14ac:dyDescent="0.2">
      <c r="A22" s="55" t="s">
        <v>0</v>
      </c>
      <c r="B22" s="55">
        <v>1</v>
      </c>
      <c r="C22" s="56">
        <v>8</v>
      </c>
      <c r="D22" s="2" t="s">
        <v>15</v>
      </c>
    </row>
    <row r="23" spans="1:4" x14ac:dyDescent="0.2">
      <c r="A23" s="55" t="s">
        <v>1</v>
      </c>
      <c r="B23" s="55">
        <v>2</v>
      </c>
      <c r="C23" s="56">
        <v>16</v>
      </c>
      <c r="D23" s="2" t="s">
        <v>15</v>
      </c>
    </row>
    <row r="24" spans="1:4" x14ac:dyDescent="0.2">
      <c r="A24" s="55" t="s">
        <v>2</v>
      </c>
      <c r="B24" s="55">
        <v>3</v>
      </c>
      <c r="C24" s="56">
        <v>24</v>
      </c>
      <c r="D24" s="2" t="s">
        <v>15</v>
      </c>
    </row>
    <row r="25" spans="1:4" x14ac:dyDescent="0.2">
      <c r="A25" s="55"/>
      <c r="B25" s="55"/>
      <c r="C25" s="55"/>
      <c r="D25" s="55"/>
    </row>
    <row r="26" spans="1:4" x14ac:dyDescent="0.2">
      <c r="A26" s="55"/>
      <c r="B26" s="55" t="s">
        <v>9</v>
      </c>
      <c r="C26" s="55" t="s">
        <v>8</v>
      </c>
      <c r="D26" s="55" t="s">
        <v>11</v>
      </c>
    </row>
    <row r="27" spans="1:4" x14ac:dyDescent="0.2">
      <c r="A27" s="55" t="s">
        <v>3</v>
      </c>
      <c r="B27" s="55">
        <v>1</v>
      </c>
      <c r="C27" s="57" t="s">
        <v>88</v>
      </c>
      <c r="D27" s="58">
        <v>0.5</v>
      </c>
    </row>
    <row r="28" spans="1:4" x14ac:dyDescent="0.2">
      <c r="A28" s="55" t="s">
        <v>4</v>
      </c>
      <c r="B28" s="55">
        <v>2</v>
      </c>
      <c r="C28" s="57" t="s">
        <v>89</v>
      </c>
      <c r="D28" s="58">
        <v>0.75</v>
      </c>
    </row>
    <row r="29" spans="1:4" x14ac:dyDescent="0.2">
      <c r="A29" s="55" t="s">
        <v>5</v>
      </c>
      <c r="B29" s="55">
        <v>3</v>
      </c>
      <c r="C29" s="57" t="s">
        <v>92</v>
      </c>
      <c r="D29" s="58">
        <v>1</v>
      </c>
    </row>
    <row r="30" spans="1:4" x14ac:dyDescent="0.2">
      <c r="A30" s="55" t="s">
        <v>96</v>
      </c>
      <c r="B30" s="55">
        <v>4</v>
      </c>
      <c r="C30" s="57" t="s">
        <v>90</v>
      </c>
      <c r="D30" s="58">
        <v>1.25</v>
      </c>
    </row>
    <row r="31" spans="1:4" x14ac:dyDescent="0.2">
      <c r="A31" s="55" t="s">
        <v>97</v>
      </c>
      <c r="B31" s="55">
        <v>5</v>
      </c>
      <c r="C31" s="57" t="s">
        <v>91</v>
      </c>
      <c r="D31" s="58">
        <v>1.5</v>
      </c>
    </row>
    <row r="32" spans="1:4" x14ac:dyDescent="0.2">
      <c r="A32" s="55" t="s">
        <v>98</v>
      </c>
      <c r="B32" s="55">
        <v>6</v>
      </c>
      <c r="C32" s="57" t="s">
        <v>94</v>
      </c>
      <c r="D32" s="58">
        <v>1.75</v>
      </c>
    </row>
    <row r="33" spans="1:8" x14ac:dyDescent="0.2">
      <c r="A33" s="55" t="s">
        <v>99</v>
      </c>
      <c r="B33" s="55">
        <v>7</v>
      </c>
      <c r="C33" s="57" t="s">
        <v>95</v>
      </c>
      <c r="D33" s="58">
        <v>2</v>
      </c>
    </row>
    <row r="35" spans="1:8" x14ac:dyDescent="0.2">
      <c r="B35" s="55" t="s">
        <v>9</v>
      </c>
      <c r="C35" s="55" t="s">
        <v>8</v>
      </c>
      <c r="D35" s="2" t="s">
        <v>26</v>
      </c>
      <c r="E35" s="2" t="s">
        <v>21</v>
      </c>
    </row>
    <row r="36" spans="1:8" x14ac:dyDescent="0.2">
      <c r="A36" s="55" t="s">
        <v>6</v>
      </c>
      <c r="B36" s="55">
        <v>1</v>
      </c>
      <c r="C36" s="56" t="s">
        <v>102</v>
      </c>
      <c r="D36" s="1">
        <v>2</v>
      </c>
      <c r="E36" s="59">
        <f>D36*C9</f>
        <v>0.32</v>
      </c>
    </row>
    <row r="37" spans="1:8" x14ac:dyDescent="0.2">
      <c r="A37" s="55"/>
      <c r="B37" s="55">
        <v>2</v>
      </c>
      <c r="C37" s="56" t="s">
        <v>101</v>
      </c>
      <c r="D37" s="1">
        <v>4</v>
      </c>
      <c r="E37" s="59">
        <f>D37*C9</f>
        <v>0.64</v>
      </c>
    </row>
    <row r="38" spans="1:8" x14ac:dyDescent="0.2">
      <c r="D38" s="2" t="s">
        <v>13</v>
      </c>
      <c r="F38" s="90"/>
      <c r="G38" s="90"/>
    </row>
    <row r="39" spans="1:8" x14ac:dyDescent="0.2">
      <c r="B39" s="55" t="s">
        <v>9</v>
      </c>
      <c r="C39" s="2" t="s">
        <v>8</v>
      </c>
      <c r="D39" s="2" t="s">
        <v>111</v>
      </c>
      <c r="E39" s="2" t="s">
        <v>112</v>
      </c>
      <c r="F39" s="2" t="s">
        <v>111</v>
      </c>
      <c r="G39" s="2" t="s">
        <v>112</v>
      </c>
    </row>
    <row r="40" spans="1:8" x14ac:dyDescent="0.2">
      <c r="A40" s="2" t="s">
        <v>7</v>
      </c>
      <c r="B40" s="2">
        <v>1</v>
      </c>
      <c r="C40" s="56" t="s">
        <v>129</v>
      </c>
      <c r="D40" s="1">
        <v>3</v>
      </c>
      <c r="E40" s="1">
        <v>1</v>
      </c>
      <c r="F40" s="4">
        <f>1/2</f>
        <v>0.5</v>
      </c>
      <c r="G40" s="4">
        <f>2/4</f>
        <v>0.5</v>
      </c>
      <c r="H40" s="89" t="s">
        <v>59</v>
      </c>
    </row>
    <row r="41" spans="1:8" x14ac:dyDescent="0.2">
      <c r="B41" s="2">
        <v>2</v>
      </c>
      <c r="C41" s="56" t="s">
        <v>113</v>
      </c>
      <c r="D41" s="1">
        <v>4</v>
      </c>
      <c r="E41" s="1">
        <v>3</v>
      </c>
      <c r="F41" s="5">
        <f>1/6</f>
        <v>0.16666666666666666</v>
      </c>
      <c r="G41" s="4">
        <f>1/4</f>
        <v>0.25</v>
      </c>
      <c r="H41" s="89"/>
    </row>
    <row r="42" spans="1:8" x14ac:dyDescent="0.2">
      <c r="B42" s="2">
        <v>3</v>
      </c>
      <c r="C42" s="56" t="s">
        <v>114</v>
      </c>
      <c r="D42" s="1">
        <v>3</v>
      </c>
      <c r="E42" s="1">
        <v>1</v>
      </c>
      <c r="F42" s="4">
        <f>1/4</f>
        <v>0.25</v>
      </c>
      <c r="G42" s="4">
        <f>1/4</f>
        <v>0.25</v>
      </c>
      <c r="H42" s="89"/>
    </row>
    <row r="43" spans="1:8" x14ac:dyDescent="0.2">
      <c r="B43" s="2">
        <v>1</v>
      </c>
      <c r="C43" s="56" t="s">
        <v>129</v>
      </c>
      <c r="D43" s="1">
        <v>3</v>
      </c>
      <c r="E43" s="1">
        <v>1</v>
      </c>
      <c r="F43" s="4">
        <f>1/4</f>
        <v>0.25</v>
      </c>
      <c r="G43" s="4">
        <f>1/4</f>
        <v>0.25</v>
      </c>
      <c r="H43" s="89" t="s">
        <v>60</v>
      </c>
    </row>
    <row r="44" spans="1:8" x14ac:dyDescent="0.2">
      <c r="B44" s="2">
        <v>2</v>
      </c>
      <c r="C44" s="56" t="s">
        <v>113</v>
      </c>
      <c r="D44" s="1">
        <v>4</v>
      </c>
      <c r="E44" s="1">
        <v>3</v>
      </c>
      <c r="F44" s="5">
        <f>1/6</f>
        <v>0.16666666666666666</v>
      </c>
      <c r="G44" s="5">
        <f>1/8</f>
        <v>0.125</v>
      </c>
      <c r="H44" s="89"/>
    </row>
    <row r="45" spans="1:8" x14ac:dyDescent="0.2">
      <c r="B45" s="2">
        <v>3</v>
      </c>
      <c r="C45" s="56" t="s">
        <v>114</v>
      </c>
      <c r="D45" s="1">
        <v>3</v>
      </c>
      <c r="E45" s="1">
        <v>1</v>
      </c>
      <c r="F45" s="4">
        <f>1/4</f>
        <v>0.25</v>
      </c>
      <c r="G45" s="4">
        <f>1/4</f>
        <v>0.25</v>
      </c>
      <c r="H45" s="89"/>
    </row>
    <row r="47" spans="1:8" x14ac:dyDescent="0.2">
      <c r="A47" s="2" t="s">
        <v>62</v>
      </c>
      <c r="B47" s="2">
        <v>1</v>
      </c>
      <c r="C47" s="6" t="s">
        <v>64</v>
      </c>
    </row>
    <row r="48" spans="1:8" x14ac:dyDescent="0.2">
      <c r="B48" s="2">
        <v>2</v>
      </c>
      <c r="C48" s="2" t="s">
        <v>63</v>
      </c>
    </row>
    <row r="51" spans="1:4" x14ac:dyDescent="0.2">
      <c r="A51" s="2" t="s">
        <v>36</v>
      </c>
      <c r="B51" s="55" t="s">
        <v>9</v>
      </c>
      <c r="C51" s="2" t="s">
        <v>37</v>
      </c>
      <c r="D51" s="2" t="s">
        <v>38</v>
      </c>
    </row>
    <row r="52" spans="1:4" x14ac:dyDescent="0.2">
      <c r="A52" s="2" t="s">
        <v>39</v>
      </c>
      <c r="B52" s="2">
        <v>1</v>
      </c>
      <c r="C52" s="1">
        <f>$C$13*C17</f>
        <v>0.89999999999999991</v>
      </c>
      <c r="D52" s="1">
        <f>$C$14*C17</f>
        <v>1.2000000000000002</v>
      </c>
    </row>
    <row r="53" spans="1:4" x14ac:dyDescent="0.2">
      <c r="A53" s="2" t="s">
        <v>40</v>
      </c>
      <c r="B53" s="2">
        <v>2</v>
      </c>
      <c r="C53" s="1">
        <f>$C$13*C18</f>
        <v>1.7999999999999998</v>
      </c>
      <c r="D53" s="1">
        <f>$C$14*C18</f>
        <v>2.4000000000000004</v>
      </c>
    </row>
    <row r="54" spans="1:4" x14ac:dyDescent="0.2">
      <c r="A54" s="2" t="s">
        <v>41</v>
      </c>
      <c r="B54" s="2">
        <v>3</v>
      </c>
      <c r="C54" s="1">
        <f>$C$13*C19</f>
        <v>1.2</v>
      </c>
      <c r="D54" s="1">
        <f>$C$14*C19</f>
        <v>1.6</v>
      </c>
    </row>
    <row r="56" spans="1:4" ht="15" x14ac:dyDescent="0.2">
      <c r="A56" s="2" t="s">
        <v>67</v>
      </c>
      <c r="B56" s="2">
        <v>1</v>
      </c>
      <c r="C56" s="1" t="s">
        <v>68</v>
      </c>
    </row>
    <row r="57" spans="1:4" ht="15" x14ac:dyDescent="0.2">
      <c r="B57" s="2">
        <v>2</v>
      </c>
      <c r="C57" s="1" t="s">
        <v>69</v>
      </c>
    </row>
    <row r="58" spans="1:4" ht="15" x14ac:dyDescent="0.2">
      <c r="B58" s="2">
        <v>3</v>
      </c>
      <c r="C58" s="1" t="s">
        <v>70</v>
      </c>
    </row>
    <row r="59" spans="1:4" ht="15" x14ac:dyDescent="0.2">
      <c r="B59" s="2">
        <v>4</v>
      </c>
      <c r="C59" s="1" t="s">
        <v>71</v>
      </c>
    </row>
    <row r="60" spans="1:4" x14ac:dyDescent="0.2">
      <c r="B60" s="2">
        <v>5</v>
      </c>
      <c r="C60" s="1" t="s">
        <v>23</v>
      </c>
    </row>
    <row r="61" spans="1:4" x14ac:dyDescent="0.2">
      <c r="B61" s="2">
        <v>6</v>
      </c>
      <c r="C61" s="1" t="s">
        <v>18</v>
      </c>
    </row>
    <row r="62" spans="1:4" x14ac:dyDescent="0.2">
      <c r="B62" s="2">
        <v>7</v>
      </c>
      <c r="C62" s="1" t="s">
        <v>14</v>
      </c>
    </row>
    <row r="63" spans="1:4" x14ac:dyDescent="0.2">
      <c r="B63" s="2">
        <v>8</v>
      </c>
      <c r="C63" s="1" t="s">
        <v>25</v>
      </c>
    </row>
    <row r="65" spans="1:3" x14ac:dyDescent="0.2">
      <c r="A65" s="2" t="s">
        <v>83</v>
      </c>
      <c r="C65" s="1" t="s">
        <v>84</v>
      </c>
    </row>
    <row r="66" spans="1:3" x14ac:dyDescent="0.2">
      <c r="C66" s="1" t="s">
        <v>120</v>
      </c>
    </row>
    <row r="67" spans="1:3" x14ac:dyDescent="0.2">
      <c r="C67" s="1" t="s">
        <v>87</v>
      </c>
    </row>
  </sheetData>
  <sheetProtection sheet="1" selectLockedCells="1" selectUnlockedCells="1"/>
  <mergeCells count="3">
    <mergeCell ref="H40:H42"/>
    <mergeCell ref="H43:H45"/>
    <mergeCell ref="F38:G38"/>
  </mergeCells>
  <phoneticPr fontId="25" type="noConversion"/>
  <pageMargins left="0.7" right="0.7" top="0.78740157499999996" bottom="0.78740157499999996" header="0.3" footer="0.3"/>
  <pageSetup paperSize="9" orientation="portrait" r:id="rId1"/>
  <ignoredErrors>
    <ignoredError sqref="G41 F44:G44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B937F-48E8-4248-A5AE-040E735041C7}">
  <dimension ref="A1:B8"/>
  <sheetViews>
    <sheetView zoomScaleNormal="100" workbookViewId="0">
      <selection activeCell="H3" sqref="H3"/>
    </sheetView>
  </sheetViews>
  <sheetFormatPr baseColWidth="10" defaultColWidth="11.42578125" defaultRowHeight="12.75" x14ac:dyDescent="0.2"/>
  <cols>
    <col min="1" max="1" width="18.5703125" style="78" bestFit="1" customWidth="1"/>
    <col min="2" max="2" width="65.7109375" style="78" customWidth="1"/>
    <col min="3" max="16384" width="11.42578125" style="78"/>
  </cols>
  <sheetData>
    <row r="1" spans="1:2" x14ac:dyDescent="0.2">
      <c r="A1" s="78" t="s">
        <v>117</v>
      </c>
      <c r="B1" s="78" t="s">
        <v>118</v>
      </c>
    </row>
    <row r="3" spans="1:2" ht="275.10000000000002" customHeight="1" x14ac:dyDescent="0.2">
      <c r="A3" s="78">
        <v>1</v>
      </c>
      <c r="B3" s="79"/>
    </row>
    <row r="4" spans="1:2" ht="275.10000000000002" customHeight="1" x14ac:dyDescent="0.2">
      <c r="A4" s="78">
        <v>2</v>
      </c>
      <c r="B4" s="79"/>
    </row>
    <row r="5" spans="1:2" ht="275.10000000000002" customHeight="1" x14ac:dyDescent="0.2">
      <c r="A5" s="78">
        <v>3</v>
      </c>
    </row>
    <row r="6" spans="1:2" ht="275.10000000000002" customHeight="1" x14ac:dyDescent="0.2">
      <c r="A6" s="78">
        <v>4</v>
      </c>
    </row>
    <row r="7" spans="1:2" ht="275.10000000000002" customHeight="1" x14ac:dyDescent="0.2">
      <c r="A7" s="78">
        <v>5</v>
      </c>
    </row>
    <row r="8" spans="1:2" ht="275.10000000000002" customHeight="1" x14ac:dyDescent="0.2">
      <c r="A8" s="78">
        <v>6</v>
      </c>
    </row>
  </sheetData>
  <sheetProtection sheet="1" selectLockedCells="1" selectUnlockedCells="1"/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D31"/>
  <sheetViews>
    <sheetView workbookViewId="0">
      <selection activeCell="F6" sqref="F6"/>
    </sheetView>
  </sheetViews>
  <sheetFormatPr baseColWidth="10" defaultRowHeight="15" x14ac:dyDescent="0.25"/>
  <cols>
    <col min="1" max="1" width="25.7109375" customWidth="1"/>
    <col min="2" max="2" width="143" bestFit="1" customWidth="1"/>
    <col min="3" max="3" width="10.140625" bestFit="1" customWidth="1"/>
    <col min="4" max="4" width="11.42578125" bestFit="1" customWidth="1"/>
  </cols>
  <sheetData>
    <row r="1" spans="1:4" ht="15" customHeight="1" x14ac:dyDescent="0.25">
      <c r="A1" s="27" t="s">
        <v>75</v>
      </c>
      <c r="B1" s="28" t="s">
        <v>76</v>
      </c>
      <c r="C1" s="28" t="s">
        <v>77</v>
      </c>
      <c r="D1" s="27" t="s">
        <v>78</v>
      </c>
    </row>
    <row r="2" spans="1:4" ht="15" customHeight="1" x14ac:dyDescent="0.25">
      <c r="A2" s="29" t="s">
        <v>73</v>
      </c>
      <c r="B2" s="30" t="s">
        <v>81</v>
      </c>
      <c r="C2" s="31">
        <v>42611</v>
      </c>
      <c r="D2" s="32" t="s">
        <v>80</v>
      </c>
    </row>
    <row r="3" spans="1:4" ht="15" customHeight="1" x14ac:dyDescent="0.25">
      <c r="A3" s="36" t="s">
        <v>74</v>
      </c>
      <c r="B3" s="37" t="s">
        <v>82</v>
      </c>
      <c r="C3" s="38">
        <v>43133</v>
      </c>
      <c r="D3" s="39" t="s">
        <v>80</v>
      </c>
    </row>
    <row r="4" spans="1:4" ht="15" customHeight="1" x14ac:dyDescent="0.25">
      <c r="A4" s="32" t="s">
        <v>93</v>
      </c>
      <c r="B4" s="30" t="s">
        <v>100</v>
      </c>
      <c r="C4" s="31">
        <v>43248</v>
      </c>
      <c r="D4" s="32" t="s">
        <v>80</v>
      </c>
    </row>
    <row r="5" spans="1:4" ht="30" customHeight="1" x14ac:dyDescent="0.25">
      <c r="A5" s="32" t="s">
        <v>109</v>
      </c>
      <c r="B5" s="30" t="s">
        <v>110</v>
      </c>
      <c r="C5" s="31">
        <v>41623</v>
      </c>
      <c r="D5" s="32" t="s">
        <v>80</v>
      </c>
    </row>
    <row r="6" spans="1:4" ht="15" customHeight="1" x14ac:dyDescent="0.25">
      <c r="A6" s="32"/>
      <c r="B6" s="30"/>
      <c r="C6" s="31"/>
      <c r="D6" s="32"/>
    </row>
    <row r="7" spans="1:4" ht="15" customHeight="1" x14ac:dyDescent="0.25">
      <c r="A7" s="32"/>
      <c r="B7" s="30"/>
      <c r="C7" s="31"/>
      <c r="D7" s="32"/>
    </row>
    <row r="8" spans="1:4" ht="15" customHeight="1" x14ac:dyDescent="0.25">
      <c r="A8" s="32"/>
      <c r="B8" s="30"/>
      <c r="C8" s="31"/>
      <c r="D8" s="32"/>
    </row>
    <row r="9" spans="1:4" ht="15" customHeight="1" x14ac:dyDescent="0.25">
      <c r="A9" s="32"/>
      <c r="B9" s="30"/>
      <c r="C9" s="31"/>
      <c r="D9" s="32"/>
    </row>
    <row r="10" spans="1:4" ht="15" customHeight="1" x14ac:dyDescent="0.25">
      <c r="A10" s="32"/>
      <c r="B10" s="30"/>
      <c r="C10" s="31"/>
      <c r="D10" s="32"/>
    </row>
    <row r="11" spans="1:4" ht="15" customHeight="1" x14ac:dyDescent="0.25">
      <c r="A11" s="32"/>
      <c r="B11" s="30"/>
      <c r="C11" s="31"/>
      <c r="D11" s="32"/>
    </row>
    <row r="12" spans="1:4" ht="15" customHeight="1" x14ac:dyDescent="0.25">
      <c r="A12" s="32"/>
      <c r="B12" s="30"/>
      <c r="C12" s="31"/>
      <c r="D12" s="32"/>
    </row>
    <row r="13" spans="1:4" ht="15" customHeight="1" x14ac:dyDescent="0.25">
      <c r="A13" s="32"/>
      <c r="B13" s="30"/>
      <c r="C13" s="31"/>
      <c r="D13" s="32"/>
    </row>
    <row r="14" spans="1:4" ht="15" customHeight="1" x14ac:dyDescent="0.25">
      <c r="A14" s="32"/>
      <c r="B14" s="30"/>
      <c r="C14" s="31"/>
      <c r="D14" s="32"/>
    </row>
    <row r="15" spans="1:4" ht="15" customHeight="1" x14ac:dyDescent="0.25">
      <c r="A15" s="32"/>
      <c r="B15" s="30"/>
      <c r="C15" s="31"/>
      <c r="D15" s="32"/>
    </row>
    <row r="16" spans="1:4" ht="15" customHeight="1" x14ac:dyDescent="0.25">
      <c r="A16" s="32"/>
      <c r="B16" s="30"/>
      <c r="C16" s="31"/>
      <c r="D16" s="32"/>
    </row>
    <row r="17" spans="1:4" ht="15" customHeight="1" x14ac:dyDescent="0.25">
      <c r="A17" s="32"/>
      <c r="B17" s="30"/>
      <c r="C17" s="31"/>
      <c r="D17" s="32"/>
    </row>
    <row r="18" spans="1:4" ht="15" customHeight="1" x14ac:dyDescent="0.25">
      <c r="A18" s="32"/>
      <c r="B18" s="30"/>
      <c r="C18" s="31"/>
      <c r="D18" s="32"/>
    </row>
    <row r="19" spans="1:4" ht="15" customHeight="1" x14ac:dyDescent="0.25">
      <c r="A19" s="32"/>
      <c r="B19" s="30"/>
      <c r="C19" s="31"/>
      <c r="D19" s="32"/>
    </row>
    <row r="20" spans="1:4" ht="15" customHeight="1" x14ac:dyDescent="0.25">
      <c r="A20" s="32"/>
      <c r="B20" s="30"/>
      <c r="C20" s="31"/>
      <c r="D20" s="32"/>
    </row>
    <row r="21" spans="1:4" ht="15" customHeight="1" x14ac:dyDescent="0.25">
      <c r="A21" s="32"/>
      <c r="B21" s="30"/>
      <c r="C21" s="31"/>
      <c r="D21" s="32"/>
    </row>
    <row r="22" spans="1:4" ht="15" customHeight="1" x14ac:dyDescent="0.25">
      <c r="A22" s="32"/>
      <c r="B22" s="30"/>
      <c r="C22" s="31"/>
      <c r="D22" s="32"/>
    </row>
    <row r="23" spans="1:4" ht="15" customHeight="1" x14ac:dyDescent="0.25">
      <c r="A23" s="32"/>
      <c r="B23" s="30"/>
      <c r="C23" s="31"/>
      <c r="D23" s="32"/>
    </row>
    <row r="24" spans="1:4" ht="15" customHeight="1" x14ac:dyDescent="0.25">
      <c r="A24" s="32"/>
      <c r="B24" s="30"/>
      <c r="C24" s="31"/>
      <c r="D24" s="32"/>
    </row>
    <row r="25" spans="1:4" ht="15" customHeight="1" x14ac:dyDescent="0.25">
      <c r="A25" s="32"/>
      <c r="B25" s="30"/>
      <c r="C25" s="31"/>
      <c r="D25" s="32"/>
    </row>
    <row r="26" spans="1:4" ht="15" customHeight="1" x14ac:dyDescent="0.25">
      <c r="A26" s="32"/>
      <c r="B26" s="30"/>
      <c r="C26" s="31"/>
      <c r="D26" s="32"/>
    </row>
    <row r="27" spans="1:4" ht="15" customHeight="1" x14ac:dyDescent="0.25">
      <c r="A27" s="32"/>
      <c r="B27" s="30"/>
      <c r="C27" s="31"/>
      <c r="D27" s="32"/>
    </row>
    <row r="28" spans="1:4" ht="15" customHeight="1" x14ac:dyDescent="0.25">
      <c r="A28" s="32"/>
      <c r="B28" s="30"/>
      <c r="C28" s="31"/>
      <c r="D28" s="32"/>
    </row>
    <row r="29" spans="1:4" ht="15" customHeight="1" x14ac:dyDescent="0.25">
      <c r="A29" s="33" t="str">
        <f>INDEX($B$2:$B$28,MATCH("",$B$2:$B$28,-1))</f>
        <v>Pump types/designations updated (new Flexxpump 4) / accordingly lubricant quantity per output adjusted (new 0.16 cm^3, old: 0.15 cm^3)
Programming adapted for Windows 10, various small design adjustments made.</v>
      </c>
      <c r="B29" s="34" t="s">
        <v>79</v>
      </c>
      <c r="C29" s="35"/>
      <c r="D29" s="33"/>
    </row>
    <row r="30" spans="1:4" ht="20.100000000000001" customHeight="1" x14ac:dyDescent="0.25"/>
    <row r="31" spans="1:4" ht="20.100000000000001" customHeight="1" x14ac:dyDescent="0.25"/>
  </sheetData>
  <sheetProtection sheet="1" selectLockedCells="1" selectUnlockedCell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3F3A5B7E9501469A6C22EFBBB488E9" ma:contentTypeVersion="23" ma:contentTypeDescription="Ein neues Dokument erstellen." ma:contentTypeScope="" ma:versionID="2950f5d6104ddd83be096b2d98473cf7">
  <xsd:schema xmlns:xsd="http://www.w3.org/2001/XMLSchema" xmlns:xs="http://www.w3.org/2001/XMLSchema" xmlns:p="http://schemas.microsoft.com/office/2006/metadata/properties" xmlns:ns2="bbfdb8eb-08cb-405a-821e-4796bc2c1e2e" xmlns:ns3="bc7c87eb-62af-40b6-8912-d183b18244c6" targetNamespace="http://schemas.microsoft.com/office/2006/metadata/properties" ma:root="true" ma:fieldsID="624cf491607c84d8742df038ad387371" ns2:_="" ns3:_="">
    <xsd:import namespace="bbfdb8eb-08cb-405a-821e-4796bc2c1e2e"/>
    <xsd:import namespace="bc7c87eb-62af-40b6-8912-d183b18244c6"/>
    <xsd:element name="properties">
      <xsd:complexType>
        <xsd:sequence>
          <xsd:element name="documentManagement">
            <xsd:complexType>
              <xsd:all>
                <xsd:element ref="ns2:kda40509b5394dc1880d5db41c7f350e" minOccurs="0"/>
                <xsd:element ref="ns2:f9448b6945904495b611e1036c65f110" minOccurs="0"/>
                <xsd:element ref="ns2:fd34ae63b6ed4027b2a36b02f665f8e7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db8eb-08cb-405a-821e-4796bc2c1e2e" elementFormDefault="qualified">
    <xsd:import namespace="http://schemas.microsoft.com/office/2006/documentManagement/types"/>
    <xsd:import namespace="http://schemas.microsoft.com/office/infopath/2007/PartnerControls"/>
    <xsd:element name="kda40509b5394dc1880d5db41c7f350e" ma:index="8" nillable="true" ma:taxonomy="true" ma:internalName="kda40509b5394dc1880d5db41c7f350e" ma:taxonomyFieldName="Function" ma:displayName="Function" ma:default="1;#Engineering|939e58a6-e0f7-4950-ae59-9d4591d97a89" ma:fieldId="{4da40509-b539-4dc1-880d-5db41c7f350e}" ma:sspId="6b350cd8-3e76-42fd-baaf-3e601ae44941" ma:termSetId="b8498587-1db8-411a-a39b-fc12a75ced4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448b6945904495b611e1036c65f110" ma:index="9" nillable="true" ma:taxonomy="true" ma:internalName="f9448b6945904495b611e1036c65f110" ma:taxonomyFieldName="Entity" ma:displayName="Entity" ma:default="3;#GCH|8f333e5d-1a6b-4a1b-8fbd-f9ed54766672" ma:fieldId="{f9448b69-4590-4495-b611-e1036c65f110}" ma:sspId="6b350cd8-3e76-42fd-baaf-3e601ae44941" ma:termSetId="017f4ded-0df3-49d2-b59b-eddd93e991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34ae63b6ed4027b2a36b02f665f8e7" ma:index="10" nillable="true" ma:taxonomy="true" ma:internalName="fd34ae63b6ed4027b2a36b02f665f8e7" ma:taxonomyFieldName="Department1" ma:displayName="Department" ma:default="2;#Mechanical Engineering|7a42fc70-9d92-4564-8514-7ae504cc8754" ma:fieldId="{fd34ae63-b6ed-4027-b2a3-6b02f665f8e7}" ma:sspId="6b350cd8-3e76-42fd-baaf-3e601ae44941" ma:termSetId="25c375ae-c02f-4c67-ab6e-04c600125a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e37f75d3-103d-4fd3-8add-bbbc7da25e85}" ma:internalName="TaxCatchAll" ma:showField="CatchAllData" ma:web="bbfdb8eb-08cb-405a-821e-4796bc2c1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7c87eb-62af-40b6-8912-d183b18244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9" nillable="true" ma:taxonomy="true" ma:internalName="lcf76f155ced4ddcb4097134ff3c332f" ma:taxonomyFieldName="MediaServiceImageTags" ma:displayName="Bildmarkierungen" ma:readOnly="false" ma:fieldId="{5cf76f15-5ced-4ddc-b409-7134ff3c332f}" ma:taxonomyMulti="true" ma:sspId="6b350cd8-3e76-42fd-baaf-3e601ae449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da40509b5394dc1880d5db41c7f350e xmlns="bbfdb8eb-08cb-405a-821e-4796bc2c1e2e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Engineering</TermName>
          <TermId xmlns="http://schemas.microsoft.com/office/infopath/2007/PartnerControls">939e58a6-e0f7-4950-ae59-9d4591d97a89</TermId>
        </TermInfo>
      </Terms>
    </kda40509b5394dc1880d5db41c7f350e>
    <fd34ae63b6ed4027b2a36b02f665f8e7 xmlns="bbfdb8eb-08cb-405a-821e-4796bc2c1e2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Mechanical Engineering</TermName>
          <TermId xmlns="http://schemas.microsoft.com/office/infopath/2007/PartnerControls">7a42fc70-9d92-4564-8514-7ae504cc8754</TermId>
        </TermInfo>
      </Terms>
    </fd34ae63b6ed4027b2a36b02f665f8e7>
    <lcf76f155ced4ddcb4097134ff3c332f xmlns="bc7c87eb-62af-40b6-8912-d183b18244c6">
      <Terms xmlns="http://schemas.microsoft.com/office/infopath/2007/PartnerControls"/>
    </lcf76f155ced4ddcb4097134ff3c332f>
    <TaxCatchAll xmlns="bbfdb8eb-08cb-405a-821e-4796bc2c1e2e">
      <Value>3</Value>
      <Value>2</Value>
      <Value>1</Value>
    </TaxCatchAll>
    <f9448b6945904495b611e1036c65f110 xmlns="bbfdb8eb-08cb-405a-821e-4796bc2c1e2e">
      <Terms xmlns="http://schemas.microsoft.com/office/infopath/2007/PartnerControls">
        <TermInfo xmlns="http://schemas.microsoft.com/office/infopath/2007/PartnerControls">
          <TermName xmlns="http://schemas.microsoft.com/office/infopath/2007/PartnerControls">GCH</TermName>
          <TermId xmlns="http://schemas.microsoft.com/office/infopath/2007/PartnerControls">8f333e5d-1a6b-4a1b-8fbd-f9ed54766672</TermId>
        </TermInfo>
      </Terms>
    </f9448b6945904495b611e1036c65f110>
  </documentManagement>
</p:properties>
</file>

<file path=customXml/itemProps1.xml><?xml version="1.0" encoding="utf-8"?>
<ds:datastoreItem xmlns:ds="http://schemas.openxmlformats.org/officeDocument/2006/customXml" ds:itemID="{FFBD5F4E-9088-43CF-BC89-0483E0A9397A}"/>
</file>

<file path=customXml/itemProps2.xml><?xml version="1.0" encoding="utf-8"?>
<ds:datastoreItem xmlns:ds="http://schemas.openxmlformats.org/officeDocument/2006/customXml" ds:itemID="{E434CFE0-9881-432D-A1F1-3F21325C8224}"/>
</file>

<file path=customXml/itemProps3.xml><?xml version="1.0" encoding="utf-8"?>
<ds:datastoreItem xmlns:ds="http://schemas.openxmlformats.org/officeDocument/2006/customXml" ds:itemID="{8379FA1F-BBE3-40CA-90AD-AB08FA8AF83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</vt:i4>
      </vt:variant>
    </vt:vector>
  </HeadingPairs>
  <TitlesOfParts>
    <vt:vector size="11" baseType="lpstr">
      <vt:lpstr>LubriCalc</vt:lpstr>
      <vt:lpstr>Constants</vt:lpstr>
      <vt:lpstr>Pictures</vt:lpstr>
      <vt:lpstr>release note</vt:lpstr>
      <vt:lpstr>ConstCartVol</vt:lpstr>
      <vt:lpstr>ConstMaxIntDist</vt:lpstr>
      <vt:lpstr>ConstMaxIntTime</vt:lpstr>
      <vt:lpstr>ConstMaxReplTime</vt:lpstr>
      <vt:lpstr>ConstMonthDay</vt:lpstr>
      <vt:lpstr>ConstVolPerExitStroke</vt:lpstr>
      <vt:lpstr>LubriCalc!Druckbereich</vt:lpstr>
    </vt:vector>
  </TitlesOfParts>
  <Company>Güdel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Brunner Pius</dc:creator>
  <cp:lastModifiedBy>Michael Scheidiger</cp:lastModifiedBy>
  <cp:lastPrinted>2018-03-08T13:57:50Z</cp:lastPrinted>
  <dcterms:created xsi:type="dcterms:W3CDTF">2013-07-12T11:20:30Z</dcterms:created>
  <dcterms:modified xsi:type="dcterms:W3CDTF">2023-12-15T13:09:02Z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">
    <vt:lpwstr>3;#GCH|8f333e5d-1a6b-4a1b-8fbd-f9ed54766672</vt:lpwstr>
  </property>
  <property fmtid="{D5CDD505-2E9C-101B-9397-08002B2CF9AE}" pid="3" name="MediaServiceImageTags">
    <vt:lpwstr/>
  </property>
  <property fmtid="{D5CDD505-2E9C-101B-9397-08002B2CF9AE}" pid="4" name="ContentTypeId">
    <vt:lpwstr>0x0101009D3F3A5B7E9501469A6C22EFBBB488E9</vt:lpwstr>
  </property>
  <property fmtid="{D5CDD505-2E9C-101B-9397-08002B2CF9AE}" pid="5" name="Department1">
    <vt:lpwstr>2;#Mechanical Engineering|7a42fc70-9d92-4564-8514-7ae504cc8754</vt:lpwstr>
  </property>
  <property fmtid="{D5CDD505-2E9C-101B-9397-08002B2CF9AE}" pid="6" name="Function">
    <vt:lpwstr>1;#Engineering|939e58a6-e0f7-4950-ae59-9d4591d97a89</vt:lpwstr>
  </property>
</Properties>
</file>